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2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<sst xmlns="http://schemas.openxmlformats.org/spreadsheetml/2006/main" count="35" uniqueCount="24">
  <si>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CALCULO PAGO PROVISIONAL</t>
  </si>
  <si>
    <t>Dias</t>
  </si>
  <si>
    <t>Total Ingresos</t>
  </si>
  <si>
    <t>( = )</t>
  </si>
  <si>
    <t>Ingresos Acumulables</t>
  </si>
  <si>
    <t>( - )</t>
  </si>
  <si>
    <t>Excedente sobre limite inferior</t>
  </si>
  <si>
    <t>( * )</t>
  </si>
  <si>
    <t>Tasa aplicable s/ limite inferior</t>
  </si>
  <si>
    <t>( + )</t>
  </si>
  <si>
    <t>Cuota Fija</t>
  </si>
  <si>
    <t>ISR conforme a al art.113 LISR</t>
  </si>
  <si>
    <t>SUBSIDIO PARA EL EMPLEO</t>
  </si>
  <si>
    <t>ISR A CARGO</t>
  </si>
  <si>
    <t>SUBSIDIO A FAVOR</t>
  </si>
  <si>
    <t>Límite Inferior</t>
  </si>
  <si>
    <t>Límite Superior</t>
  </si>
  <si>
    <t xml:space="preserve">% S/Eexced. Límite inferior </t>
  </si>
  <si>
    <t>www.losimpuestos.com.mx</t>
  </si>
  <si>
    <t>ISPT PERIODO VARIABLE 2014</t>
  </si>
  <si>
    <t>TABLAS Y TARIFAS MENSUAL 2014 Art. 96</t>
  </si>
  <si>
    <t>TABLA DE SUBSIDIO PARA EL EMPLEO 2014</t>
  </si>
  <si>
    <t>Limite Inferior de la tarifa del Art. 96</t>
  </si>
  <si>
    <t>DETERMINACION SUBSIDIO ACREDITABLE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</si>
</sst>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C0A]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6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15" applyFont="1" applyAlignment="1">
      <alignment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3" borderId="8" xfId="0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172" fontId="2" fillId="4" borderId="1" xfId="0" applyNumberFormat="1" applyFont="1" applyFill="1" applyBorder="1" applyAlignment="1">
      <alignment/>
    </xf>
    <xf numFmtId="172" fontId="2" fillId="4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172" fontId="2" fillId="4" borderId="8" xfId="0" applyNumberFormat="1" applyFont="1" applyFill="1" applyBorder="1" applyAlignment="1">
      <alignment/>
    </xf>
    <xf numFmtId="172" fontId="2" fillId="4" borderId="9" xfId="0" applyNumberFormat="1" applyFont="1" applyFill="1" applyBorder="1" applyAlignment="1">
      <alignment/>
    </xf>
    <xf numFmtId="10" fontId="2" fillId="4" borderId="8" xfId="0" applyNumberFormat="1" applyFont="1" applyFill="1" applyBorder="1" applyAlignment="1">
      <alignment/>
    </xf>
    <xf numFmtId="10" fontId="2" fillId="4" borderId="4" xfId="0" applyNumberFormat="1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financialred.com.mx/" TargetMode="External" /><Relationship Id="rId3" Type="http://schemas.openxmlformats.org/officeDocument/2006/relationships/hyperlink" Target="http://financialred.com.mx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27</xdr:row>
      <xdr:rowOff>133350</xdr:rowOff>
    </xdr:from>
    <xdr:to>
      <xdr:col>2</xdr:col>
      <xdr:colOff>400050</xdr:colOff>
      <xdr:row>30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876800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simpuestos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C5" sqref="C5"/>
    </sheetView>
  </sheetViews>
  <sheetFormatPr defaultColWidth="11.421875" defaultRowHeight="12.75"/>
  <cols>
    <col min="2" max="2" width="24.7109375" style="0" customWidth="1"/>
    <col min="3" max="3" width="16.28125" style="0" customWidth="1"/>
    <col min="5" max="5" width="4.00390625" style="0" customWidth="1"/>
    <col min="6" max="6" width="3.00390625" style="0" customWidth="1"/>
    <col min="7" max="7" width="16.8515625" style="0" customWidth="1"/>
    <col min="8" max="8" width="17.00390625" style="0" customWidth="1"/>
    <col min="9" max="9" width="17.7109375" style="0" customWidth="1"/>
    <col min="10" max="10" width="13.8515625" style="0" customWidth="1"/>
  </cols>
  <sheetData>
    <row r="1" spans="1:10" ht="13.5" thickBot="1">
      <c r="A1" s="25" t="s">
        <v>0</v>
      </c>
      <c r="B1" s="26"/>
      <c r="C1" s="27"/>
      <c r="D1" s="1"/>
      <c r="E1" s="1"/>
      <c r="F1" s="1"/>
      <c r="G1" s="22" t="s">
        <v>20</v>
      </c>
      <c r="H1" s="23"/>
      <c r="I1" s="24"/>
      <c r="J1" s="1"/>
    </row>
    <row r="2" spans="1:10" ht="13.5" thickBot="1">
      <c r="A2" s="28" t="s">
        <v>19</v>
      </c>
      <c r="B2" s="29"/>
      <c r="C2" s="30"/>
      <c r="D2" s="1"/>
      <c r="E2" s="1"/>
      <c r="F2" s="1"/>
      <c r="G2" s="1"/>
      <c r="H2" s="1"/>
      <c r="I2" s="1"/>
      <c r="J2" s="1"/>
    </row>
    <row r="3" spans="1:10" ht="31.5" customHeight="1" thickBot="1">
      <c r="A3" s="1"/>
      <c r="B3" s="1"/>
      <c r="C3" s="1"/>
      <c r="D3" s="1"/>
      <c r="E3" s="1"/>
      <c r="F3" s="1"/>
      <c r="G3" s="7" t="s">
        <v>15</v>
      </c>
      <c r="H3" s="8" t="s">
        <v>16</v>
      </c>
      <c r="I3" s="8" t="s">
        <v>10</v>
      </c>
      <c r="J3" s="9" t="s">
        <v>17</v>
      </c>
    </row>
    <row r="4" spans="1:10" ht="13.5" thickBot="1">
      <c r="A4" s="1"/>
      <c r="B4" s="13" t="s">
        <v>1</v>
      </c>
      <c r="C4" s="31">
        <v>30</v>
      </c>
      <c r="D4" s="1"/>
      <c r="E4" s="1"/>
      <c r="F4" s="1"/>
      <c r="G4" s="33">
        <f>0.01/30*C4</f>
        <v>0.01</v>
      </c>
      <c r="H4" s="33">
        <f>496.07/30*C4</f>
        <v>496.07000000000005</v>
      </c>
      <c r="I4" s="33">
        <f>0/30*C4</f>
        <v>0</v>
      </c>
      <c r="J4" s="38">
        <v>0.0192</v>
      </c>
    </row>
    <row r="5" spans="1:10" ht="13.5" thickBot="1">
      <c r="A5" s="2"/>
      <c r="B5" s="13" t="s">
        <v>2</v>
      </c>
      <c r="C5" s="32">
        <v>500</v>
      </c>
      <c r="D5" s="1"/>
      <c r="E5" s="1"/>
      <c r="F5" s="1"/>
      <c r="G5" s="33">
        <f>496.08/30*C4</f>
        <v>496.0799999999999</v>
      </c>
      <c r="H5" s="33">
        <f>4210.41/30*C4</f>
        <v>4210.41</v>
      </c>
      <c r="I5" s="33">
        <f>9.52/30*C4</f>
        <v>9.52</v>
      </c>
      <c r="J5" s="38">
        <v>0.064</v>
      </c>
    </row>
    <row r="6" spans="1:10" ht="13.5" thickBot="1">
      <c r="A6" s="2"/>
      <c r="B6" s="1"/>
      <c r="C6" s="1"/>
      <c r="D6" s="1"/>
      <c r="E6" s="1"/>
      <c r="F6" s="1"/>
      <c r="G6" s="33">
        <f>4210.42/30*C4</f>
        <v>4210.42</v>
      </c>
      <c r="H6" s="33">
        <f>7399.42/30*C4</f>
        <v>7399.42</v>
      </c>
      <c r="I6" s="33">
        <f>247.24/30*C4</f>
        <v>247.24</v>
      </c>
      <c r="J6" s="38">
        <v>0.1088</v>
      </c>
    </row>
    <row r="7" spans="1:10" ht="13.5" thickBot="1">
      <c r="A7" s="2"/>
      <c r="B7" s="1"/>
      <c r="C7" s="1"/>
      <c r="D7" s="1"/>
      <c r="E7" s="1"/>
      <c r="F7" s="1"/>
      <c r="G7" s="33">
        <f>7399.43/30*C4</f>
        <v>7399.43</v>
      </c>
      <c r="H7" s="33">
        <f>8601.5/30*C4</f>
        <v>8601.5</v>
      </c>
      <c r="I7" s="33">
        <f>594.21/30*C4</f>
        <v>594.21</v>
      </c>
      <c r="J7" s="38">
        <v>0.16</v>
      </c>
    </row>
    <row r="8" spans="1:10" ht="13.5" thickBot="1">
      <c r="A8" s="2"/>
      <c r="B8" s="1"/>
      <c r="C8" s="1"/>
      <c r="D8" s="1"/>
      <c r="E8" s="1"/>
      <c r="F8" s="1"/>
      <c r="G8" s="33">
        <f>8601.51/30*C4</f>
        <v>8601.51</v>
      </c>
      <c r="H8" s="33">
        <f>10298.35/30*C4</f>
        <v>10298.35</v>
      </c>
      <c r="I8" s="33">
        <f>786.54/30*C4</f>
        <v>786.54</v>
      </c>
      <c r="J8" s="38">
        <v>0.1792</v>
      </c>
    </row>
    <row r="9" spans="1:10" ht="13.5" thickBot="1">
      <c r="A9" s="2"/>
      <c r="B9" s="1"/>
      <c r="C9" s="1"/>
      <c r="D9" s="1"/>
      <c r="E9" s="1"/>
      <c r="F9" s="1"/>
      <c r="G9" s="33">
        <f>10298.36/30*C4</f>
        <v>10298.36</v>
      </c>
      <c r="H9" s="33">
        <f>20770.29/30*C4</f>
        <v>20770.29</v>
      </c>
      <c r="I9" s="33">
        <f>1090.61/30*C4</f>
        <v>1090.61</v>
      </c>
      <c r="J9" s="38">
        <v>0.2136</v>
      </c>
    </row>
    <row r="10" spans="1:10" ht="13.5" thickBot="1">
      <c r="A10" s="2" t="s">
        <v>3</v>
      </c>
      <c r="B10" s="43" t="s">
        <v>4</v>
      </c>
      <c r="C10" s="44"/>
      <c r="D10" s="33">
        <f>C5</f>
        <v>500</v>
      </c>
      <c r="E10" s="1"/>
      <c r="F10" s="1"/>
      <c r="G10" s="33">
        <f>20770.3/30*C4</f>
        <v>20770.3</v>
      </c>
      <c r="H10" s="33">
        <f>32736.83/30*C4</f>
        <v>32736.83</v>
      </c>
      <c r="I10" s="33">
        <f>3327.42/30*C4</f>
        <v>3327.42</v>
      </c>
      <c r="J10" s="38">
        <v>0.2352</v>
      </c>
    </row>
    <row r="11" spans="1:10" ht="13.5" thickBot="1">
      <c r="A11" s="2" t="s">
        <v>5</v>
      </c>
      <c r="B11" s="34" t="s">
        <v>22</v>
      </c>
      <c r="C11" s="13"/>
      <c r="D11" s="35">
        <f>VLOOKUP(D10,G3:J14,1)</f>
        <v>496.0799999999999</v>
      </c>
      <c r="E11" s="1"/>
      <c r="F11" s="1"/>
      <c r="G11" s="33">
        <f>32736.84/30*C4</f>
        <v>32736.840000000004</v>
      </c>
      <c r="H11" s="33">
        <f>62500/30*C4</f>
        <v>62500.00000000001</v>
      </c>
      <c r="I11" s="33">
        <f>6141.95/30*C4</f>
        <v>6141.95</v>
      </c>
      <c r="J11" s="38">
        <v>0.3</v>
      </c>
    </row>
    <row r="12" spans="1:10" ht="13.5" thickBot="1">
      <c r="A12" s="2" t="s">
        <v>3</v>
      </c>
      <c r="B12" s="34" t="s">
        <v>6</v>
      </c>
      <c r="C12" s="13"/>
      <c r="D12" s="35">
        <f>D10-D11</f>
        <v>3.9200000000000728</v>
      </c>
      <c r="E12" s="1"/>
      <c r="F12" s="1"/>
      <c r="G12" s="33">
        <f>62500.01/30*C4</f>
        <v>62500.01000000001</v>
      </c>
      <c r="H12" s="33">
        <f>83333.33/30*C4</f>
        <v>83333.33</v>
      </c>
      <c r="I12" s="33">
        <f>15070.9/30*C4</f>
        <v>15070.9</v>
      </c>
      <c r="J12" s="38">
        <v>0.32</v>
      </c>
    </row>
    <row r="13" spans="1:10" ht="13.5" thickBot="1">
      <c r="A13" s="2" t="s">
        <v>7</v>
      </c>
      <c r="B13" s="34" t="s">
        <v>8</v>
      </c>
      <c r="C13" s="13"/>
      <c r="D13" s="37">
        <f>VLOOKUP(D10,G3:J14,4)</f>
        <v>0.064</v>
      </c>
      <c r="E13" s="1"/>
      <c r="F13" s="1"/>
      <c r="G13" s="33">
        <f>83333.34/30*C4</f>
        <v>83333.34</v>
      </c>
      <c r="H13" s="33">
        <f>250000/30*C4</f>
        <v>250000.00000000003</v>
      </c>
      <c r="I13" s="33">
        <f>21737.57/30*C4</f>
        <v>21737.57</v>
      </c>
      <c r="J13" s="38">
        <v>0.34</v>
      </c>
    </row>
    <row r="14" spans="1:10" ht="12.75">
      <c r="A14" s="2"/>
      <c r="B14" s="41"/>
      <c r="C14" s="42"/>
      <c r="D14" s="35">
        <f>D12*D13</f>
        <v>0.25088000000000465</v>
      </c>
      <c r="E14" s="1"/>
      <c r="F14" s="1"/>
      <c r="G14" s="33">
        <f>250000.01/30*C4</f>
        <v>250000.01</v>
      </c>
      <c r="H14" s="33">
        <f>99999999/30*C4</f>
        <v>99999999</v>
      </c>
      <c r="I14" s="33">
        <f>78404.23/30*C4</f>
        <v>78404.23</v>
      </c>
      <c r="J14" s="38">
        <v>0.35</v>
      </c>
    </row>
    <row r="15" spans="1:10" ht="12.75">
      <c r="A15" s="2" t="s">
        <v>9</v>
      </c>
      <c r="B15" s="39" t="s">
        <v>10</v>
      </c>
      <c r="C15" s="40"/>
      <c r="D15" s="35">
        <f>VLOOKUP(D10,G3:J14,3)</f>
        <v>9.52</v>
      </c>
      <c r="E15" s="1"/>
      <c r="F15" s="1"/>
      <c r="J15" s="1"/>
    </row>
    <row r="16" spans="1:10" ht="12.75">
      <c r="A16" s="2" t="s">
        <v>3</v>
      </c>
      <c r="B16" s="34" t="s">
        <v>11</v>
      </c>
      <c r="C16" s="13"/>
      <c r="D16" s="35">
        <f>D14+D15</f>
        <v>9.770880000000004</v>
      </c>
      <c r="E16" s="1"/>
      <c r="F16" s="1"/>
      <c r="J16" s="1"/>
    </row>
    <row r="17" spans="1:10" ht="12.75">
      <c r="A17" s="2"/>
      <c r="B17" s="47" t="s">
        <v>23</v>
      </c>
      <c r="C17" s="48"/>
      <c r="D17" s="49"/>
      <c r="E17" s="1"/>
      <c r="F17" s="1"/>
      <c r="J17" s="1"/>
    </row>
    <row r="18" spans="1:10" ht="13.5" thickBot="1">
      <c r="A18" s="2"/>
      <c r="B18" s="50"/>
      <c r="C18" s="51"/>
      <c r="D18" s="52"/>
      <c r="E18" s="1"/>
      <c r="F18" s="1"/>
      <c r="J18" s="1"/>
    </row>
    <row r="19" spans="1:10" ht="12.75">
      <c r="A19" s="2"/>
      <c r="B19" s="53"/>
      <c r="C19" s="54"/>
      <c r="D19" s="55"/>
      <c r="E19" s="1"/>
      <c r="F19" s="1"/>
      <c r="G19" s="14" t="s">
        <v>21</v>
      </c>
      <c r="H19" s="15"/>
      <c r="I19" s="16"/>
      <c r="J19" s="1"/>
    </row>
    <row r="20" spans="1:10" ht="12.75">
      <c r="A20" s="2" t="s">
        <v>3</v>
      </c>
      <c r="B20" s="39" t="s">
        <v>11</v>
      </c>
      <c r="C20" s="40"/>
      <c r="D20" s="35">
        <f>D16</f>
        <v>9.770880000000004</v>
      </c>
      <c r="E20" s="1"/>
      <c r="F20" s="1"/>
      <c r="G20" s="17" t="s">
        <v>15</v>
      </c>
      <c r="H20" s="5" t="s">
        <v>16</v>
      </c>
      <c r="I20" s="18" t="s">
        <v>10</v>
      </c>
      <c r="J20" s="1"/>
    </row>
    <row r="21" spans="2:10" ht="12.75">
      <c r="B21" s="39"/>
      <c r="C21" s="40"/>
      <c r="D21" s="35"/>
      <c r="E21" s="1"/>
      <c r="F21" s="1"/>
      <c r="G21" s="10">
        <f>0.01/30*C4</f>
        <v>0.01</v>
      </c>
      <c r="H21" s="6">
        <f>1768.96/30*C4</f>
        <v>1768.96</v>
      </c>
      <c r="I21" s="19">
        <f>407.02/30*C4</f>
        <v>407.02</v>
      </c>
      <c r="J21" s="1"/>
    </row>
    <row r="22" spans="1:10" ht="12.75">
      <c r="A22" s="2" t="s">
        <v>5</v>
      </c>
      <c r="B22" s="39" t="s">
        <v>12</v>
      </c>
      <c r="C22" s="40"/>
      <c r="D22" s="35">
        <f>VLOOKUP(D10,G21:I31,3)</f>
        <v>407.02</v>
      </c>
      <c r="E22" s="1"/>
      <c r="F22" s="1"/>
      <c r="G22" s="20">
        <f>1768.97/30*C4</f>
        <v>1768.97</v>
      </c>
      <c r="H22" s="6">
        <f>2653.38/30*C4</f>
        <v>2653.38</v>
      </c>
      <c r="I22" s="19">
        <f>406.83/30*C4</f>
        <v>406.83</v>
      </c>
      <c r="J22" s="1"/>
    </row>
    <row r="23" spans="1:10" ht="12.75">
      <c r="A23" s="2" t="s">
        <v>3</v>
      </c>
      <c r="B23" s="39" t="s">
        <v>13</v>
      </c>
      <c r="C23" s="40"/>
      <c r="D23" s="35">
        <f>IF(D21-D22&gt;0,D21-D22,0)</f>
        <v>0</v>
      </c>
      <c r="E23" s="1"/>
      <c r="F23" s="1"/>
      <c r="G23" s="10">
        <f>2653.39/30*C4</f>
        <v>2653.39</v>
      </c>
      <c r="H23" s="6">
        <f>3472.84/30*C4</f>
        <v>3472.84</v>
      </c>
      <c r="I23" s="19">
        <f>406.62/30*C4</f>
        <v>406.62</v>
      </c>
      <c r="J23" s="1"/>
    </row>
    <row r="24" spans="1:10" ht="13.5" thickBot="1">
      <c r="A24" s="2" t="s">
        <v>3</v>
      </c>
      <c r="B24" s="45" t="s">
        <v>14</v>
      </c>
      <c r="C24" s="46"/>
      <c r="D24" s="36">
        <f>IF(D22-D21&gt;0,D22-D21,0)</f>
        <v>407.02</v>
      </c>
      <c r="E24" s="1"/>
      <c r="F24" s="1"/>
      <c r="G24" s="10">
        <f>3472.85/30*C4</f>
        <v>3472.85</v>
      </c>
      <c r="H24" s="6">
        <f>3537.87/30*C4</f>
        <v>3537.87</v>
      </c>
      <c r="I24" s="19">
        <f>392.77/30*C4</f>
        <v>392.77</v>
      </c>
      <c r="J24" s="1"/>
    </row>
    <row r="25" spans="1:10" ht="12.75">
      <c r="A25" s="2"/>
      <c r="B25" s="1"/>
      <c r="C25" s="1"/>
      <c r="D25" s="1"/>
      <c r="E25" s="1"/>
      <c r="F25" s="1"/>
      <c r="G25" s="10">
        <f>3537.88/30*C4</f>
        <v>3537.88</v>
      </c>
      <c r="H25" s="6">
        <f>4446.15/30*C4</f>
        <v>4446.15</v>
      </c>
      <c r="I25" s="19">
        <f>382.46/30*C4</f>
        <v>382.46</v>
      </c>
      <c r="J25" s="1"/>
    </row>
    <row r="26" spans="1:10" ht="12.75">
      <c r="A26" s="2"/>
      <c r="B26" s="1"/>
      <c r="C26" s="1"/>
      <c r="D26" s="1"/>
      <c r="E26" s="1"/>
      <c r="F26" s="1"/>
      <c r="G26" s="10">
        <f>4446.16/30*C4</f>
        <v>4446.16</v>
      </c>
      <c r="H26" s="6">
        <f>4717.18/30*C4</f>
        <v>4717.18</v>
      </c>
      <c r="I26" s="19">
        <f>354.23/30*C4</f>
        <v>354.23</v>
      </c>
      <c r="J26" s="1"/>
    </row>
    <row r="27" spans="1:10" ht="12.75">
      <c r="A27" s="2"/>
      <c r="B27" s="1"/>
      <c r="C27" s="1"/>
      <c r="D27" s="1"/>
      <c r="E27" s="1"/>
      <c r="F27" s="1"/>
      <c r="G27" s="10">
        <f>4717.19/30*C4</f>
        <v>4717.19</v>
      </c>
      <c r="H27" s="6">
        <f>5335.42/30*C4</f>
        <v>5335.42</v>
      </c>
      <c r="I27" s="19">
        <f>324.87/30*C4</f>
        <v>324.87</v>
      </c>
      <c r="J27" s="1"/>
    </row>
    <row r="28" spans="1:9" ht="12.75">
      <c r="A28" s="3"/>
      <c r="G28" s="10">
        <f>5335.43/30*C4</f>
        <v>5335.43</v>
      </c>
      <c r="H28" s="6">
        <f>6224.67/30*C4</f>
        <v>6224.67</v>
      </c>
      <c r="I28" s="19">
        <f>294.63/30*C4</f>
        <v>294.63</v>
      </c>
    </row>
    <row r="29" spans="1:9" ht="12.75">
      <c r="A29" s="3"/>
      <c r="G29" s="10">
        <f>6224.68/30*C4</f>
        <v>6224.68</v>
      </c>
      <c r="H29" s="6">
        <f>7113.9/30*C4</f>
        <v>7113.9</v>
      </c>
      <c r="I29" s="19">
        <f>253.54/30*C4</f>
        <v>253.53999999999996</v>
      </c>
    </row>
    <row r="30" spans="7:9" ht="12.75">
      <c r="G30" s="10">
        <f>7113.91/30*C4</f>
        <v>7113.91</v>
      </c>
      <c r="H30" s="6">
        <f>7382.33/30*C4</f>
        <v>7382.33</v>
      </c>
      <c r="I30" s="19">
        <f>217.61/30*C4</f>
        <v>217.61</v>
      </c>
    </row>
    <row r="31" spans="7:9" ht="13.5" thickBot="1">
      <c r="G31" s="11">
        <f>7382.34/30*C4</f>
        <v>7382.34</v>
      </c>
      <c r="H31" s="12">
        <v>999999</v>
      </c>
      <c r="I31" s="21">
        <v>0</v>
      </c>
    </row>
    <row r="32" ht="20.25">
      <c r="B32" s="4" t="s">
        <v>18</v>
      </c>
    </row>
  </sheetData>
  <sheetProtection formatCells="0"/>
  <mergeCells count="9">
    <mergeCell ref="B15:C15"/>
    <mergeCell ref="B14:C14"/>
    <mergeCell ref="B10:C10"/>
    <mergeCell ref="B24:C24"/>
    <mergeCell ref="B17:D19"/>
    <mergeCell ref="B20:C20"/>
    <mergeCell ref="B21:C21"/>
    <mergeCell ref="B23:C23"/>
    <mergeCell ref="B22:C22"/>
  </mergeCells>
  <hyperlinks>
    <hyperlink ref="B32" r:id="rId1" display="www.losimpuestos.com.mx"/>
  </hyperlinks>
  <printOptions/>
  <pageMargins left="0.75" right="0.75" top="1" bottom="1" header="0" footer="0"/>
  <pageSetup horizontalDpi="720" verticalDpi="72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dcterms:created xsi:type="dcterms:W3CDTF">2012-08-31T17:29:45Z</dcterms:created>
  <dcterms:modified xsi:type="dcterms:W3CDTF">2014-10-31T13:59:03Z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