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15" windowHeight="8760" activeTab="0"/>
  </bookViews>
  <sheets>
    <sheet name="Presentacion" sheetId="1" r:id="rId1"/>
    <sheet name="Calculo" sheetId="2" r:id="rId2"/>
    <sheet name="Tabl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<sst xmlns="http://schemas.openxmlformats.org/spreadsheetml/2006/main" count="163" uniqueCount="134">
  <si>
    <t>Calculo de Finiquito</t>
  </si>
  <si>
    <t>Renuncia Voluntaria</t>
  </si>
  <si>
    <t>Datos</t>
  </si>
  <si>
    <t>ISR Retenciones</t>
  </si>
  <si>
    <t>RETENCION ISR ULTIMO SUELDO MENSUAL (ART-112)</t>
  </si>
  <si>
    <t>Numero de Trabajador</t>
  </si>
  <si>
    <t>Trabajador:</t>
  </si>
  <si>
    <t>Dias de Vacaciones</t>
  </si>
  <si>
    <t>Dias</t>
  </si>
  <si>
    <t>Calculo de Impuesto</t>
  </si>
  <si>
    <t>DETERMINACION DEL IMPUESTO ARTICULO 113</t>
  </si>
  <si>
    <t>Dias de Aguinaldo:</t>
  </si>
  <si>
    <t>Base del Impuesto</t>
  </si>
  <si>
    <t>Prima Vacacional:</t>
  </si>
  <si>
    <t>Limite Inferiro</t>
  </si>
  <si>
    <t>BASE GRAVABLE</t>
  </si>
  <si>
    <t>Sueldo Diario:</t>
  </si>
  <si>
    <t>Pesos</t>
  </si>
  <si>
    <t>Exedente sobre limite inferior</t>
  </si>
  <si>
    <t>(MENOS)</t>
  </si>
  <si>
    <t>LIMITE INFERIOR ART 113</t>
  </si>
  <si>
    <t>Fecha de Ingreso</t>
  </si>
  <si>
    <t>% sobre excedente de limite inferior</t>
  </si>
  <si>
    <t>(IGUAL)</t>
  </si>
  <si>
    <t>EXEDENTE DEL LIMITE INFERERIOR</t>
  </si>
  <si>
    <t>Fecha de Baja</t>
  </si>
  <si>
    <t>Impuesto marginal</t>
  </si>
  <si>
    <t>(POR)</t>
  </si>
  <si>
    <t>PORCENTAJE APLICABLE AL LIMITE INFERIOR ART. 113</t>
  </si>
  <si>
    <t>Antigüedad:</t>
  </si>
  <si>
    <t>Cuota fija</t>
  </si>
  <si>
    <t>RESULTADO</t>
  </si>
  <si>
    <t>Años</t>
  </si>
  <si>
    <t>Impuesto Art. 113 LISR</t>
  </si>
  <si>
    <t>(MAS)</t>
  </si>
  <si>
    <t>CUOTA FIJA ART 113</t>
  </si>
  <si>
    <t>Proporcion</t>
  </si>
  <si>
    <t>IMPUESTO DEL ART 113</t>
  </si>
  <si>
    <t xml:space="preserve">Proporcion Aginaldo </t>
  </si>
  <si>
    <t>Calculo del Subsidio</t>
  </si>
  <si>
    <t>SMGAG</t>
  </si>
  <si>
    <t>FECHA DE INICIO DEL AÑO O INGRESO</t>
  </si>
  <si>
    <t>% Sobre impuesto marginal</t>
  </si>
  <si>
    <t>IMPUESTO TOTAL</t>
  </si>
  <si>
    <t>FECHA DE BAJA(FINIQUITO)</t>
  </si>
  <si>
    <t>Subsidio</t>
  </si>
  <si>
    <t>SUBSIDIO ACREDITABLE ART. 114</t>
  </si>
  <si>
    <t>Días del año actual</t>
  </si>
  <si>
    <t>Cuota Fija</t>
  </si>
  <si>
    <t>ISR DETERMINADO</t>
  </si>
  <si>
    <t>Subsidio Art. 114 LISR</t>
  </si>
  <si>
    <t>CREDITO AL SALRIO</t>
  </si>
  <si>
    <t>IMPUESTO A CARGO O A FAVOR</t>
  </si>
  <si>
    <t>% de Subsidio acreditable:</t>
  </si>
  <si>
    <t>Subsidio acreditable:</t>
  </si>
  <si>
    <t>PERCEPCIONES:</t>
  </si>
  <si>
    <t>Total</t>
  </si>
  <si>
    <t>Exento</t>
  </si>
  <si>
    <t>Gravado</t>
  </si>
  <si>
    <t>ISR ULTIMO SUELDO MENSUAL</t>
  </si>
  <si>
    <t>Aguinaldo</t>
  </si>
  <si>
    <t>Retencion ISR</t>
  </si>
  <si>
    <t>(ENTRE)</t>
  </si>
  <si>
    <t>ULTIMO SULELDO MENSUAL</t>
  </si>
  <si>
    <t>Vacaciones</t>
  </si>
  <si>
    <t>TASA DE ISR</t>
  </si>
  <si>
    <t>Prima Vacacional</t>
  </si>
  <si>
    <t>INDEMNIZACION GRAVADA</t>
  </si>
  <si>
    <t>ISR A RETENER POR INDEMNIZACION</t>
  </si>
  <si>
    <t>20 dias por año de Servicios</t>
  </si>
  <si>
    <t>90 dias de indemnizacion</t>
  </si>
  <si>
    <t>Prima de antigüedad</t>
  </si>
  <si>
    <t>DEDUCCIONES</t>
  </si>
  <si>
    <t xml:space="preserve">ISR Retenciones por Salarios </t>
  </si>
  <si>
    <t>Deudas</t>
  </si>
  <si>
    <t>Neto a recibir</t>
  </si>
  <si>
    <t>PARTIDA CONTABLE</t>
  </si>
  <si>
    <t>Prima de Antigüedad</t>
  </si>
  <si>
    <t>Indemnizacion</t>
  </si>
  <si>
    <t>20 dias por año</t>
  </si>
  <si>
    <t>Cobro de adeudos con la empresa</t>
  </si>
  <si>
    <t>ISR Retenciones por Salarios</t>
  </si>
  <si>
    <t>Bancos o Caja</t>
  </si>
  <si>
    <t>DATOS INDEMNIZACION</t>
  </si>
  <si>
    <t>Zona</t>
  </si>
  <si>
    <t>S.M.</t>
  </si>
  <si>
    <t>EMPRESA</t>
  </si>
  <si>
    <t>A</t>
  </si>
  <si>
    <t>B</t>
  </si>
  <si>
    <t>PRESTACIONES</t>
  </si>
  <si>
    <t>DATOS FINIQUITO (PARTES PROPORCIONALES)</t>
  </si>
  <si>
    <t>Nombre de Trabajador</t>
  </si>
  <si>
    <t>Antigüedad</t>
  </si>
  <si>
    <t>Periodo</t>
  </si>
  <si>
    <t>Final de Periodo</t>
  </si>
  <si>
    <t>Salario Diario</t>
  </si>
  <si>
    <t>Dias de Aguinaldo</t>
  </si>
  <si>
    <t>Otros</t>
  </si>
  <si>
    <t>Deudas con la Empresa</t>
  </si>
  <si>
    <t>Fecha Inicial</t>
  </si>
  <si>
    <t>Fecha Final</t>
  </si>
  <si>
    <t>Dias Laborados</t>
  </si>
  <si>
    <t>Justificado ponga 1</t>
  </si>
  <si>
    <t>Tarifas y tablas anual de 2013.</t>
  </si>
  <si>
    <t>Tarifa para el cálculo del impuesto. Art. 113 LISR</t>
  </si>
  <si>
    <t xml:space="preserve">Inferior </t>
  </si>
  <si>
    <t>Superior</t>
  </si>
  <si>
    <t>fija</t>
  </si>
  <si>
    <t>Excedente del límite inferior</t>
  </si>
  <si>
    <t>DIAS DE VACACIONES POR LEY</t>
  </si>
  <si>
    <t>$</t>
  </si>
  <si>
    <t>%</t>
  </si>
  <si>
    <t>1 AÑO=6 DIAS</t>
  </si>
  <si>
    <t>2 ANOS=8 DIAS</t>
  </si>
  <si>
    <t>3 ANOS=10 DIAS</t>
  </si>
  <si>
    <t>4 ANOS=12 DIAS</t>
  </si>
  <si>
    <t>5-9</t>
  </si>
  <si>
    <t>5-9 AÑOS =14 DIAS</t>
  </si>
  <si>
    <t>10-14</t>
  </si>
  <si>
    <t>10-14 AÑOS=16 DIAS</t>
  </si>
  <si>
    <t>15-19</t>
  </si>
  <si>
    <t>15-19AÑOS=18 DIAS</t>
  </si>
  <si>
    <t>20-24</t>
  </si>
  <si>
    <t>20-24 AÑOS=20 DIAS</t>
  </si>
  <si>
    <t>25-29</t>
  </si>
  <si>
    <t>25-29 AÑOS=22 DIAS</t>
  </si>
  <si>
    <t>Tabla para el cálculo del subsidio art. 114 LISR</t>
  </si>
  <si>
    <t>30-34</t>
  </si>
  <si>
    <t>30-34 AÑOS=24 DIAS</t>
  </si>
  <si>
    <t>35-40</t>
  </si>
  <si>
    <t>34-40 AÑOS=26 DIAS</t>
  </si>
  <si>
    <t>Financialred SA</t>
  </si>
  <si>
    <t>Manuel Lopez</t>
  </si>
  <si>
    <t>Juan Perez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</si>
</sst>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#,##0.00"/>
    <numFmt numFmtId="165" formatCode="d&quot; de &quot;mmmm&quot; de &quot;yyyy"/>
    <numFmt numFmtId="166" formatCode="dddd\,\ d&quot; '&quot;d&quot;e' &quot;mmmm&quot; '&quot;d&quot;e' &quot;yyyy"/>
    <numFmt numFmtId="167" formatCode="#,##0.00\ ;\-#,##0.00\ "/>
    <numFmt numFmtId="168" formatCode="0.###############"/>
    <numFmt numFmtId="169" formatCode="#,##0.0"/>
  </numFmts>
  <fonts count="34">
    <font>
      <sz val="10"/>
      <name val="Arial"/>
      <family val="0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25"/>
      <name val="Arial"/>
      <family val="2"/>
    </font>
    <font>
      <b/>
      <sz val="9"/>
      <color indexed="9"/>
      <name val="Arial"/>
      <family val="2"/>
    </font>
    <font>
      <b/>
      <sz val="10"/>
      <color indexed="12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Verdana"/>
      <family val="2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sz val="14"/>
      <name val="Verdana"/>
      <family val="2"/>
    </font>
    <font>
      <sz val="10"/>
      <name val="Verdana"/>
      <family val="2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6" fillId="3" borderId="0" xfId="0" applyFont="1" applyFill="1" applyAlignment="1">
      <alignment horizontal="left"/>
    </xf>
    <xf numFmtId="0" fontId="7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0" fontId="9" fillId="5" borderId="0" xfId="0" applyFont="1" applyFill="1" applyAlignment="1" applyProtection="1">
      <alignment horizontal="center" wrapText="1"/>
      <protection locked="0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2" fillId="3" borderId="0" xfId="0" applyFont="1" applyFill="1" applyAlignment="1">
      <alignment horizontal="left"/>
    </xf>
    <xf numFmtId="0" fontId="7" fillId="4" borderId="1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left"/>
    </xf>
    <xf numFmtId="1" fontId="2" fillId="3" borderId="2" xfId="0" applyNumberFormat="1" applyFont="1" applyFill="1" applyBorder="1" applyAlignment="1">
      <alignment horizontal="center"/>
    </xf>
    <xf numFmtId="0" fontId="11" fillId="3" borderId="3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164" fontId="2" fillId="3" borderId="0" xfId="0" applyNumberFormat="1" applyFont="1" applyFill="1" applyAlignment="1">
      <alignment horizontal="right"/>
    </xf>
    <xf numFmtId="0" fontId="12" fillId="3" borderId="0" xfId="0" applyFont="1" applyFill="1" applyAlignment="1">
      <alignment horizontal="center"/>
    </xf>
    <xf numFmtId="0" fontId="10" fillId="3" borderId="0" xfId="0" applyFont="1" applyFill="1" applyAlignment="1">
      <alignment horizontal="left"/>
    </xf>
    <xf numFmtId="39" fontId="13" fillId="3" borderId="7" xfId="0" applyNumberFormat="1" applyFont="1" applyFill="1" applyBorder="1" applyAlignment="1">
      <alignment horizontal="right"/>
    </xf>
    <xf numFmtId="9" fontId="2" fillId="3" borderId="8" xfId="0" applyNumberFormat="1" applyFont="1" applyFill="1" applyBorder="1" applyAlignment="1">
      <alignment horizontal="center"/>
    </xf>
    <xf numFmtId="39" fontId="2" fillId="3" borderId="1" xfId="0" applyNumberFormat="1" applyFont="1" applyFill="1" applyBorder="1" applyAlignment="1">
      <alignment horizontal="right"/>
    </xf>
    <xf numFmtId="0" fontId="14" fillId="3" borderId="0" xfId="0" applyFont="1" applyFill="1" applyAlignment="1">
      <alignment horizontal="left"/>
    </xf>
    <xf numFmtId="164" fontId="11" fillId="3" borderId="2" xfId="0" applyNumberFormat="1" applyFont="1" applyFill="1" applyBorder="1" applyAlignment="1">
      <alignment horizontal="right"/>
    </xf>
    <xf numFmtId="164" fontId="2" fillId="3" borderId="9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64" fontId="2" fillId="3" borderId="3" xfId="0" applyNumberFormat="1" applyFont="1" applyFill="1" applyBorder="1" applyAlignment="1">
      <alignment horizontal="right"/>
    </xf>
    <xf numFmtId="0" fontId="15" fillId="3" borderId="0" xfId="0" applyFont="1" applyFill="1" applyAlignment="1">
      <alignment horizontal="center"/>
    </xf>
    <xf numFmtId="39" fontId="10" fillId="3" borderId="10" xfId="0" applyNumberFormat="1" applyFont="1" applyFill="1" applyBorder="1" applyAlignment="1">
      <alignment horizontal="right"/>
    </xf>
    <xf numFmtId="165" fontId="2" fillId="3" borderId="3" xfId="0" applyNumberFormat="1" applyFont="1" applyFill="1" applyBorder="1" applyAlignment="1">
      <alignment horizontal="left"/>
    </xf>
    <xf numFmtId="166" fontId="2" fillId="3" borderId="0" xfId="0" applyNumberFormat="1" applyFont="1" applyFill="1" applyAlignment="1">
      <alignment horizontal="left"/>
    </xf>
    <xf numFmtId="10" fontId="2" fillId="3" borderId="1" xfId="0" applyNumberFormat="1" applyFont="1" applyFill="1" applyBorder="1" applyAlignment="1">
      <alignment horizontal="right"/>
    </xf>
    <xf numFmtId="39" fontId="13" fillId="3" borderId="5" xfId="0" applyNumberFormat="1" applyFont="1" applyFill="1" applyBorder="1" applyAlignment="1">
      <alignment horizontal="right"/>
    </xf>
    <xf numFmtId="165" fontId="2" fillId="3" borderId="0" xfId="0" applyNumberFormat="1" applyFont="1" applyFill="1" applyAlignment="1">
      <alignment horizontal="left"/>
    </xf>
    <xf numFmtId="10" fontId="10" fillId="3" borderId="10" xfId="0" applyNumberFormat="1" applyFont="1" applyFill="1" applyBorder="1" applyAlignment="1">
      <alignment horizontal="right"/>
    </xf>
    <xf numFmtId="1" fontId="2" fillId="3" borderId="0" xfId="0" applyNumberFormat="1" applyFont="1" applyFill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167" fontId="2" fillId="3" borderId="0" xfId="0" applyNumberFormat="1" applyFont="1" applyFill="1" applyAlignment="1">
      <alignment horizontal="right"/>
    </xf>
    <xf numFmtId="2" fontId="10" fillId="3" borderId="10" xfId="0" applyNumberFormat="1" applyFont="1" applyFill="1" applyBorder="1" applyAlignment="1">
      <alignment horizontal="right"/>
    </xf>
    <xf numFmtId="10" fontId="2" fillId="3" borderId="0" xfId="0" applyNumberFormat="1" applyFont="1" applyFill="1" applyAlignment="1">
      <alignment horizontal="right"/>
    </xf>
    <xf numFmtId="0" fontId="10" fillId="3" borderId="7" xfId="0" applyFont="1" applyFill="1" applyBorder="1" applyAlignment="1">
      <alignment horizontal="left"/>
    </xf>
    <xf numFmtId="0" fontId="16" fillId="3" borderId="0" xfId="0" applyFont="1" applyFill="1" applyAlignment="1">
      <alignment horizontal="left"/>
    </xf>
    <xf numFmtId="165" fontId="2" fillId="3" borderId="0" xfId="0" applyNumberFormat="1" applyFont="1" applyFill="1" applyAlignment="1">
      <alignment horizontal="center"/>
    </xf>
    <xf numFmtId="9" fontId="2" fillId="3" borderId="1" xfId="0" applyNumberFormat="1" applyFont="1" applyFill="1" applyBorder="1" applyAlignment="1">
      <alignment horizontal="right"/>
    </xf>
    <xf numFmtId="39" fontId="10" fillId="3" borderId="7" xfId="0" applyNumberFormat="1" applyFont="1" applyFill="1" applyBorder="1" applyAlignment="1">
      <alignment horizontal="right"/>
    </xf>
    <xf numFmtId="164" fontId="2" fillId="3" borderId="0" xfId="0" applyNumberFormat="1" applyFont="1" applyFill="1" applyAlignment="1">
      <alignment horizontal="left"/>
    </xf>
    <xf numFmtId="39" fontId="10" fillId="3" borderId="5" xfId="0" applyNumberFormat="1" applyFont="1" applyFill="1" applyBorder="1" applyAlignment="1">
      <alignment horizontal="right"/>
    </xf>
    <xf numFmtId="164" fontId="2" fillId="3" borderId="0" xfId="0" applyNumberFormat="1" applyFont="1" applyFill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64" fontId="2" fillId="3" borderId="7" xfId="0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7" fillId="3" borderId="0" xfId="0" applyFont="1" applyFill="1" applyAlignment="1">
      <alignment horizontal="right"/>
    </xf>
    <xf numFmtId="167" fontId="2" fillId="3" borderId="3" xfId="0" applyNumberFormat="1" applyFont="1" applyFill="1" applyBorder="1" applyAlignment="1">
      <alignment horizontal="right"/>
    </xf>
    <xf numFmtId="0" fontId="11" fillId="3" borderId="6" xfId="0" applyFont="1" applyFill="1" applyBorder="1" applyAlignment="1">
      <alignment horizontal="left"/>
    </xf>
    <xf numFmtId="164" fontId="11" fillId="3" borderId="0" xfId="0" applyNumberFormat="1" applyFont="1" applyFill="1" applyAlignment="1">
      <alignment horizontal="right"/>
    </xf>
    <xf numFmtId="10" fontId="10" fillId="3" borderId="5" xfId="0" applyNumberFormat="1" applyFont="1" applyFill="1" applyBorder="1" applyAlignment="1">
      <alignment horizontal="right"/>
    </xf>
    <xf numFmtId="167" fontId="6" fillId="3" borderId="0" xfId="0" applyNumberFormat="1" applyFont="1" applyFill="1" applyAlignment="1">
      <alignment horizontal="right"/>
    </xf>
    <xf numFmtId="167" fontId="10" fillId="3" borderId="10" xfId="0" applyNumberFormat="1" applyFont="1" applyFill="1" applyBorder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3" borderId="0" xfId="0" applyNumberFormat="1" applyFont="1" applyFill="1" applyAlignment="1">
      <alignment horizontal="right"/>
    </xf>
    <xf numFmtId="39" fontId="11" fillId="3" borderId="5" xfId="0" applyNumberFormat="1" applyFont="1" applyFill="1" applyBorder="1" applyAlignment="1">
      <alignment horizontal="right"/>
    </xf>
    <xf numFmtId="167" fontId="6" fillId="3" borderId="0" xfId="0" applyNumberFormat="1" applyFont="1" applyFill="1" applyAlignment="1">
      <alignment horizontal="right"/>
    </xf>
    <xf numFmtId="167" fontId="18" fillId="3" borderId="0" xfId="0" applyNumberFormat="1" applyFont="1" applyFill="1" applyAlignment="1">
      <alignment horizontal="right"/>
    </xf>
    <xf numFmtId="0" fontId="2" fillId="3" borderId="10" xfId="0" applyFont="1" applyFill="1" applyBorder="1" applyAlignment="1">
      <alignment horizontal="left"/>
    </xf>
    <xf numFmtId="167" fontId="11" fillId="3" borderId="1" xfId="0" applyNumberFormat="1" applyFont="1" applyFill="1" applyBorder="1" applyAlignment="1">
      <alignment horizontal="right"/>
    </xf>
    <xf numFmtId="167" fontId="11" fillId="0" borderId="1" xfId="0" applyNumberFormat="1" applyFont="1" applyBorder="1" applyAlignment="1">
      <alignment horizontal="right"/>
    </xf>
    <xf numFmtId="167" fontId="11" fillId="3" borderId="3" xfId="0" applyNumberFormat="1" applyFont="1" applyFill="1" applyBorder="1" applyAlignment="1">
      <alignment horizontal="right"/>
    </xf>
    <xf numFmtId="167" fontId="2" fillId="3" borderId="0" xfId="0" applyNumberFormat="1" applyFont="1" applyFill="1" applyAlignment="1">
      <alignment horizontal="center"/>
    </xf>
    <xf numFmtId="0" fontId="19" fillId="4" borderId="0" xfId="0" applyFont="1" applyFill="1" applyAlignment="1">
      <alignment horizontal="left"/>
    </xf>
    <xf numFmtId="0" fontId="20" fillId="3" borderId="0" xfId="0" applyFont="1" applyFill="1" applyAlignment="1">
      <alignment horizontal="left"/>
    </xf>
    <xf numFmtId="164" fontId="20" fillId="3" borderId="0" xfId="0" applyNumberFormat="1" applyFont="1" applyFill="1" applyAlignment="1">
      <alignment horizontal="right"/>
    </xf>
    <xf numFmtId="164" fontId="19" fillId="4" borderId="0" xfId="0" applyNumberFormat="1" applyFont="1" applyFill="1" applyAlignment="1">
      <alignment horizontal="right"/>
    </xf>
    <xf numFmtId="0" fontId="7" fillId="4" borderId="0" xfId="0" applyFont="1" applyFill="1" applyAlignment="1">
      <alignment horizontal="center"/>
    </xf>
    <xf numFmtId="0" fontId="2" fillId="3" borderId="8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1" fillId="6" borderId="0" xfId="0" applyFont="1" applyFill="1" applyAlignment="1">
      <alignment horizontal="left"/>
    </xf>
    <xf numFmtId="14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68" fontId="9" fillId="0" borderId="0" xfId="0" applyNumberFormat="1" applyFont="1" applyBorder="1" applyAlignment="1" applyProtection="1">
      <alignment horizontal="center" wrapText="1"/>
      <protection/>
    </xf>
    <xf numFmtId="14" fontId="0" fillId="0" borderId="0" xfId="0" applyNumberFormat="1" applyAlignment="1">
      <alignment horizontal="center" wrapText="1"/>
    </xf>
    <xf numFmtId="0" fontId="9" fillId="6" borderId="0" xfId="0" applyFont="1" applyFill="1" applyAlignment="1">
      <alignment horizontal="left"/>
    </xf>
    <xf numFmtId="0" fontId="23" fillId="2" borderId="7" xfId="0" applyFont="1" applyFill="1" applyBorder="1" applyAlignment="1">
      <alignment horizontal="left"/>
    </xf>
    <xf numFmtId="0" fontId="11" fillId="7" borderId="4" xfId="0" applyFont="1" applyFill="1" applyBorder="1" applyAlignment="1" applyProtection="1">
      <alignment/>
      <protection locked="0"/>
    </xf>
    <xf numFmtId="14" fontId="11" fillId="0" borderId="3" xfId="0" applyNumberFormat="1" applyFont="1" applyFill="1" applyBorder="1" applyAlignment="1" applyProtection="1">
      <alignment/>
      <protection locked="0"/>
    </xf>
    <xf numFmtId="0" fontId="11" fillId="0" borderId="3" xfId="0" applyFont="1" applyFill="1" applyBorder="1" applyAlignment="1" applyProtection="1">
      <alignment/>
      <protection locked="0"/>
    </xf>
    <xf numFmtId="0" fontId="11" fillId="0" borderId="5" xfId="0" applyFont="1" applyFill="1" applyBorder="1" applyAlignment="1" applyProtection="1">
      <alignment/>
      <protection locked="0"/>
    </xf>
    <xf numFmtId="168" fontId="0" fillId="0" borderId="0" xfId="0" applyNumberFormat="1" applyFont="1" applyBorder="1" applyAlignment="1" applyProtection="1">
      <alignment horizontal="center" wrapText="1"/>
      <protection/>
    </xf>
    <xf numFmtId="2" fontId="0" fillId="0" borderId="0" xfId="0" applyNumberFormat="1" applyFont="1" applyBorder="1" applyAlignment="1" applyProtection="1">
      <alignment wrapText="1"/>
      <protection/>
    </xf>
    <xf numFmtId="0" fontId="24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left"/>
      <protection locked="0"/>
    </xf>
    <xf numFmtId="14" fontId="1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center" wrapText="1"/>
      <protection/>
    </xf>
    <xf numFmtId="2" fontId="0" fillId="0" borderId="0" xfId="0" applyNumberFormat="1" applyAlignment="1" applyProtection="1">
      <alignment/>
      <protection/>
    </xf>
    <xf numFmtId="0" fontId="24" fillId="0" borderId="0" xfId="0" applyFont="1" applyFill="1" applyBorder="1" applyAlignment="1">
      <alignment horizontal="left"/>
    </xf>
    <xf numFmtId="0" fontId="25" fillId="6" borderId="11" xfId="0" applyFont="1" applyFill="1" applyBorder="1" applyAlignment="1">
      <alignment horizontal="center"/>
    </xf>
    <xf numFmtId="0" fontId="25" fillId="6" borderId="12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1" fillId="6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9" fillId="6" borderId="14" xfId="0" applyFont="1" applyFill="1" applyBorder="1" applyAlignment="1">
      <alignment horizontal="center" vertical="center" wrapText="1"/>
    </xf>
    <xf numFmtId="0" fontId="26" fillId="8" borderId="14" xfId="0" applyFont="1" applyFill="1" applyBorder="1" applyAlignment="1">
      <alignment horizontal="center" vertical="center" wrapText="1"/>
    </xf>
    <xf numFmtId="14" fontId="9" fillId="6" borderId="14" xfId="0" applyNumberFormat="1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1" fontId="11" fillId="9" borderId="15" xfId="0" applyNumberFormat="1" applyFont="1" applyFill="1" applyBorder="1" applyAlignment="1" applyProtection="1">
      <alignment horizontal="center"/>
      <protection/>
    </xf>
    <xf numFmtId="0" fontId="11" fillId="7" borderId="9" xfId="0" applyFont="1" applyFill="1" applyBorder="1" applyAlignment="1" applyProtection="1">
      <alignment/>
      <protection locked="0"/>
    </xf>
    <xf numFmtId="14" fontId="2" fillId="7" borderId="9" xfId="0" applyNumberFormat="1" applyFont="1" applyFill="1" applyBorder="1" applyAlignment="1" applyProtection="1">
      <alignment/>
      <protection locked="0"/>
    </xf>
    <xf numFmtId="1" fontId="11" fillId="10" borderId="15" xfId="0" applyNumberFormat="1" applyFont="1" applyFill="1" applyBorder="1" applyAlignment="1" applyProtection="1">
      <alignment horizontal="center"/>
      <protection/>
    </xf>
    <xf numFmtId="4" fontId="11" fillId="7" borderId="15" xfId="0" applyNumberFormat="1" applyFont="1" applyFill="1" applyBorder="1" applyAlignment="1" applyProtection="1">
      <alignment horizontal="center"/>
      <protection locked="0"/>
    </xf>
    <xf numFmtId="1" fontId="11" fillId="7" borderId="15" xfId="0" applyNumberFormat="1" applyFont="1" applyFill="1" applyBorder="1" applyAlignment="1" applyProtection="1">
      <alignment horizontal="center"/>
      <protection locked="0"/>
    </xf>
    <xf numFmtId="4" fontId="2" fillId="7" borderId="15" xfId="0" applyNumberFormat="1" applyFont="1" applyFill="1" applyBorder="1" applyAlignment="1" applyProtection="1">
      <alignment horizontal="center"/>
      <protection locked="0"/>
    </xf>
    <xf numFmtId="14" fontId="11" fillId="5" borderId="9" xfId="0" applyNumberFormat="1" applyFont="1" applyFill="1" applyBorder="1" applyAlignment="1" applyProtection="1">
      <alignment horizontal="center"/>
      <protection locked="0"/>
    </xf>
    <xf numFmtId="1" fontId="11" fillId="7" borderId="15" xfId="0" applyNumberFormat="1" applyFont="1" applyFill="1" applyBorder="1" applyAlignment="1">
      <alignment horizontal="center"/>
    </xf>
    <xf numFmtId="0" fontId="11" fillId="7" borderId="15" xfId="0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0" fontId="28" fillId="0" borderId="0" xfId="0" applyFont="1" applyAlignment="1">
      <alignment/>
    </xf>
    <xf numFmtId="14" fontId="29" fillId="0" borderId="0" xfId="15" applyNumberFormat="1" applyAlignment="1">
      <alignment horizontal="center" wrapText="1"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30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/>
    </xf>
    <xf numFmtId="0" fontId="31" fillId="0" borderId="0" xfId="0" applyFont="1" applyFill="1" applyAlignment="1">
      <alignment horizontal="center" wrapText="1"/>
    </xf>
    <xf numFmtId="0" fontId="32" fillId="0" borderId="2" xfId="0" applyFont="1" applyFill="1" applyBorder="1" applyAlignment="1">
      <alignment horizontal="center" vertical="top" wrapText="1"/>
    </xf>
    <xf numFmtId="2" fontId="0" fillId="0" borderId="3" xfId="0" applyNumberFormat="1" applyFont="1" applyFill="1" applyBorder="1" applyAlignment="1">
      <alignment horizontal="center" wrapText="1"/>
    </xf>
    <xf numFmtId="10" fontId="0" fillId="0" borderId="3" xfId="0" applyNumberFormat="1" applyFont="1" applyFill="1" applyBorder="1" applyAlignment="1">
      <alignment horizontal="center" wrapText="1"/>
    </xf>
    <xf numFmtId="39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169" fontId="0" fillId="0" borderId="0" xfId="0" applyNumberFormat="1" applyFont="1" applyFill="1" applyAlignment="1">
      <alignment horizontal="righ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0</xdr:row>
      <xdr:rowOff>47625</xdr:rowOff>
    </xdr:from>
    <xdr:to>
      <xdr:col>11</xdr:col>
      <xdr:colOff>504825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47625"/>
          <a:ext cx="5943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2009775</xdr:colOff>
      <xdr:row>2</xdr:row>
      <xdr:rowOff>133350</xdr:rowOff>
    </xdr:from>
    <xdr:to>
      <xdr:col>10</xdr:col>
      <xdr:colOff>133350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561975"/>
          <a:ext cx="6810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22</xdr:row>
      <xdr:rowOff>95250</xdr:rowOff>
    </xdr:from>
    <xdr:to>
      <xdr:col>11</xdr:col>
      <xdr:colOff>1000125</xdr:colOff>
      <xdr:row>25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533900"/>
          <a:ext cx="6810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colas\Downloads\Calculo%20de%20Finiquitos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ALCULO"/>
      <sheetName val="TABLA"/>
    </sheetNames>
    <sheetDataSet>
      <sheetData sheetId="0"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  <row r="37">
          <cell r="A37">
            <v>31</v>
          </cell>
        </row>
        <row r="38">
          <cell r="A38">
            <v>32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>
            <v>38</v>
          </cell>
        </row>
        <row r="45">
          <cell r="A45">
            <v>39</v>
          </cell>
        </row>
        <row r="46">
          <cell r="A46">
            <v>40</v>
          </cell>
        </row>
        <row r="47">
          <cell r="A47">
            <v>41</v>
          </cell>
        </row>
        <row r="48">
          <cell r="A48">
            <v>42</v>
          </cell>
        </row>
        <row r="49">
          <cell r="A49">
            <v>43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>
            <v>46</v>
          </cell>
        </row>
        <row r="53">
          <cell r="A53">
            <v>47</v>
          </cell>
        </row>
        <row r="54">
          <cell r="A54">
            <v>48</v>
          </cell>
        </row>
        <row r="55">
          <cell r="A55">
            <v>49</v>
          </cell>
        </row>
        <row r="56">
          <cell r="A56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workbookViewId="0" topLeftCell="A1">
      <selection activeCell="C21" sqref="C21"/>
    </sheetView>
  </sheetViews>
  <sheetFormatPr defaultColWidth="11.57421875" defaultRowHeight="12.75"/>
  <cols>
    <col min="1" max="1" width="12.57421875" style="0" customWidth="1"/>
    <col min="2" max="2" width="0" style="0" hidden="1" customWidth="1"/>
    <col min="3" max="3" width="45.00390625" style="0" customWidth="1"/>
    <col min="4" max="5" width="12.140625" style="131" customWidth="1"/>
    <col min="6" max="6" width="11.57421875" style="0" customWidth="1"/>
    <col min="7" max="7" width="9.140625" style="0" customWidth="1"/>
    <col min="8" max="8" width="9.421875" style="0" customWidth="1"/>
    <col min="9" max="9" width="10.00390625" style="0" customWidth="1"/>
    <col min="10" max="10" width="10.28125" style="0" customWidth="1"/>
    <col min="11" max="11" width="11.8515625" style="0" customWidth="1"/>
    <col min="12" max="12" width="10.8515625" style="0" customWidth="1"/>
    <col min="13" max="13" width="12.28125" style="0" customWidth="1"/>
    <col min="14" max="14" width="9.7109375" style="0" customWidth="1"/>
    <col min="15" max="16" width="11.28125" style="93" customWidth="1"/>
    <col min="17" max="17" width="13.00390625" style="0" customWidth="1"/>
    <col min="18" max="18" width="12.7109375" style="0" customWidth="1"/>
    <col min="19" max="19" width="11.7109375" style="0" customWidth="1"/>
    <col min="20" max="25" width="10.8515625" style="0" customWidth="1"/>
  </cols>
  <sheetData>
    <row r="1" spans="1:14" ht="15.75" customHeight="1">
      <c r="A1" s="89" t="s">
        <v>83</v>
      </c>
      <c r="B1" s="89"/>
      <c r="C1" s="89"/>
      <c r="D1" s="90"/>
      <c r="E1"/>
      <c r="F1" s="91"/>
      <c r="G1" s="91"/>
      <c r="H1" s="91"/>
      <c r="I1" s="91"/>
      <c r="M1" s="92" t="s">
        <v>84</v>
      </c>
      <c r="N1" s="92" t="s">
        <v>85</v>
      </c>
    </row>
    <row r="2" spans="1:14" ht="21" customHeight="1">
      <c r="A2" s="94" t="s">
        <v>86</v>
      </c>
      <c r="B2" s="95"/>
      <c r="C2" s="96" t="s">
        <v>131</v>
      </c>
      <c r="D2" s="97"/>
      <c r="E2" s="97"/>
      <c r="F2" s="98"/>
      <c r="G2" s="98"/>
      <c r="H2" s="98"/>
      <c r="I2" s="99"/>
      <c r="J2" s="18"/>
      <c r="M2" s="100" t="s">
        <v>87</v>
      </c>
      <c r="N2" s="101">
        <v>64.76</v>
      </c>
    </row>
    <row r="3" spans="1:14" ht="12.75" customHeight="1">
      <c r="A3" s="102"/>
      <c r="B3" s="103"/>
      <c r="C3" s="104"/>
      <c r="D3" s="105"/>
      <c r="E3" s="105"/>
      <c r="F3" s="104"/>
      <c r="G3" s="104"/>
      <c r="H3" s="104"/>
      <c r="I3" s="104"/>
      <c r="J3" s="9"/>
      <c r="M3" s="106" t="s">
        <v>88</v>
      </c>
      <c r="N3" s="107">
        <v>61.38</v>
      </c>
    </row>
    <row r="4" spans="1:14" ht="12.75" customHeight="1">
      <c r="A4" s="102"/>
      <c r="B4" s="103"/>
      <c r="C4" s="104"/>
      <c r="D4" s="105"/>
      <c r="E4" s="105"/>
      <c r="F4" s="104"/>
      <c r="G4" s="104"/>
      <c r="H4" s="104"/>
      <c r="I4" s="104"/>
      <c r="J4" s="9"/>
      <c r="M4" s="106"/>
      <c r="N4" s="107"/>
    </row>
    <row r="5" spans="1:18" s="114" customFormat="1" ht="12.75" customHeight="1">
      <c r="A5" s="108"/>
      <c r="B5" s="103"/>
      <c r="C5" s="104"/>
      <c r="D5" s="105"/>
      <c r="E5" s="105"/>
      <c r="F5" s="104"/>
      <c r="G5" s="104"/>
      <c r="H5" s="104"/>
      <c r="I5" s="109" t="s">
        <v>89</v>
      </c>
      <c r="J5" s="110"/>
      <c r="K5" s="110"/>
      <c r="L5" s="110"/>
      <c r="M5" s="111"/>
      <c r="N5" s="112"/>
      <c r="O5" s="113" t="s">
        <v>90</v>
      </c>
      <c r="P5" s="113"/>
      <c r="Q5" s="113"/>
      <c r="R5" s="113"/>
    </row>
    <row r="6" spans="1:19" s="120" customFormat="1" ht="42" customHeight="1">
      <c r="A6" s="115" t="s">
        <v>5</v>
      </c>
      <c r="B6" s="116"/>
      <c r="C6" s="115" t="s">
        <v>91</v>
      </c>
      <c r="D6" s="117" t="s">
        <v>21</v>
      </c>
      <c r="E6" s="117" t="s">
        <v>25</v>
      </c>
      <c r="F6" s="115" t="s">
        <v>92</v>
      </c>
      <c r="G6" s="115" t="s">
        <v>93</v>
      </c>
      <c r="H6" s="115" t="s">
        <v>94</v>
      </c>
      <c r="I6" s="115" t="s">
        <v>95</v>
      </c>
      <c r="J6" s="115" t="s">
        <v>96</v>
      </c>
      <c r="K6" s="115" t="s">
        <v>7</v>
      </c>
      <c r="L6" s="115" t="s">
        <v>97</v>
      </c>
      <c r="M6" s="118" t="s">
        <v>98</v>
      </c>
      <c r="N6" s="118" t="s">
        <v>40</v>
      </c>
      <c r="O6" s="117" t="s">
        <v>99</v>
      </c>
      <c r="P6" s="117" t="s">
        <v>100</v>
      </c>
      <c r="Q6" s="115" t="s">
        <v>101</v>
      </c>
      <c r="R6" s="115" t="s">
        <v>7</v>
      </c>
      <c r="S6" s="119" t="s">
        <v>102</v>
      </c>
    </row>
    <row r="7" spans="1:19" s="114" customFormat="1" ht="12.75" customHeight="1">
      <c r="A7" s="121">
        <v>1</v>
      </c>
      <c r="B7" s="103"/>
      <c r="C7" s="122" t="s">
        <v>133</v>
      </c>
      <c r="D7" s="123">
        <v>39859</v>
      </c>
      <c r="E7" s="123">
        <v>41470</v>
      </c>
      <c r="F7" s="124">
        <f>IF(E7&lt;&gt;0,(E7-D7)/365,"")</f>
        <v>4.413698630136986</v>
      </c>
      <c r="G7" s="121">
        <v>2013</v>
      </c>
      <c r="H7" s="124">
        <f>+G7+1</f>
        <v>2014</v>
      </c>
      <c r="I7" s="125">
        <v>174.5</v>
      </c>
      <c r="J7" s="126">
        <v>15</v>
      </c>
      <c r="K7" s="126">
        <v>14</v>
      </c>
      <c r="L7" s="125"/>
      <c r="M7" s="127"/>
      <c r="N7" s="125">
        <v>64.76</v>
      </c>
      <c r="O7" s="128">
        <v>41275</v>
      </c>
      <c r="P7" s="128">
        <v>41470</v>
      </c>
      <c r="Q7" s="124">
        <f>(P7-O7)+1</f>
        <v>196</v>
      </c>
      <c r="R7" s="129"/>
      <c r="S7" s="130"/>
    </row>
    <row r="8" spans="1:19" ht="12.75" customHeight="1">
      <c r="A8" s="121">
        <f>A7+1</f>
        <v>2</v>
      </c>
      <c r="C8" s="122" t="s">
        <v>132</v>
      </c>
      <c r="D8" s="123">
        <v>39083</v>
      </c>
      <c r="E8" s="123">
        <v>41255</v>
      </c>
      <c r="F8" s="124">
        <f aca="true" t="shared" si="0" ref="F8:F56">IF(E8&lt;&gt;0,(E8-D8)/365,"")</f>
        <v>5.950684931506849</v>
      </c>
      <c r="G8" s="121">
        <v>2013</v>
      </c>
      <c r="H8" s="124">
        <f aca="true" t="shared" si="1" ref="H8:H56">+G8+1</f>
        <v>2014</v>
      </c>
      <c r="I8" s="125">
        <v>200</v>
      </c>
      <c r="J8" s="126">
        <v>15</v>
      </c>
      <c r="K8" s="126">
        <v>14</v>
      </c>
      <c r="L8" s="125"/>
      <c r="M8" s="127"/>
      <c r="N8" s="125">
        <v>64.76</v>
      </c>
      <c r="O8" s="128">
        <v>40909</v>
      </c>
      <c r="P8" s="128">
        <v>41255</v>
      </c>
      <c r="Q8" s="124">
        <f aca="true" t="shared" si="2" ref="Q8:Q56">(P8-O8)+1</f>
        <v>347</v>
      </c>
      <c r="R8" s="129"/>
      <c r="S8" s="130"/>
    </row>
    <row r="9" spans="1:19" ht="12.75" customHeight="1">
      <c r="A9" s="121">
        <f aca="true" t="shared" si="3" ref="A9:A56">A8+1</f>
        <v>3</v>
      </c>
      <c r="C9" s="122"/>
      <c r="D9" s="123"/>
      <c r="E9" s="123"/>
      <c r="F9" s="124">
        <f t="shared" si="0"/>
      </c>
      <c r="G9" s="121">
        <v>2013</v>
      </c>
      <c r="H9" s="124">
        <f t="shared" si="1"/>
        <v>2014</v>
      </c>
      <c r="I9" s="125"/>
      <c r="J9" s="126"/>
      <c r="K9" s="126"/>
      <c r="L9" s="125"/>
      <c r="M9" s="127"/>
      <c r="N9" s="125"/>
      <c r="O9" s="128"/>
      <c r="P9" s="128"/>
      <c r="Q9" s="124">
        <f t="shared" si="2"/>
        <v>1</v>
      </c>
      <c r="R9" s="129"/>
      <c r="S9" s="130"/>
    </row>
    <row r="10" spans="1:19" ht="12.75" customHeight="1">
      <c r="A10" s="121">
        <f t="shared" si="3"/>
        <v>4</v>
      </c>
      <c r="C10" s="122"/>
      <c r="D10" s="123"/>
      <c r="E10" s="123"/>
      <c r="F10" s="124">
        <f t="shared" si="0"/>
      </c>
      <c r="G10" s="121">
        <v>2013</v>
      </c>
      <c r="H10" s="124">
        <f t="shared" si="1"/>
        <v>2014</v>
      </c>
      <c r="I10" s="125"/>
      <c r="J10" s="126"/>
      <c r="K10" s="126"/>
      <c r="L10" s="125"/>
      <c r="M10" s="127"/>
      <c r="N10" s="125"/>
      <c r="O10" s="128"/>
      <c r="P10" s="128"/>
      <c r="Q10" s="124">
        <f t="shared" si="2"/>
        <v>1</v>
      </c>
      <c r="R10" s="129"/>
      <c r="S10" s="130"/>
    </row>
    <row r="11" spans="1:19" ht="12.75" customHeight="1">
      <c r="A11" s="121">
        <f t="shared" si="3"/>
        <v>5</v>
      </c>
      <c r="C11" s="122"/>
      <c r="D11" s="123"/>
      <c r="E11" s="123"/>
      <c r="F11" s="124">
        <f t="shared" si="0"/>
      </c>
      <c r="G11" s="121">
        <v>2013</v>
      </c>
      <c r="H11" s="124">
        <f t="shared" si="1"/>
        <v>2014</v>
      </c>
      <c r="I11" s="125"/>
      <c r="J11" s="126"/>
      <c r="K11" s="126"/>
      <c r="L11" s="125"/>
      <c r="M11" s="127"/>
      <c r="N11" s="125"/>
      <c r="O11" s="128"/>
      <c r="P11" s="128"/>
      <c r="Q11" s="124">
        <f t="shared" si="2"/>
        <v>1</v>
      </c>
      <c r="R11" s="129"/>
      <c r="S11" s="130"/>
    </row>
    <row r="12" spans="1:19" ht="12.75" customHeight="1">
      <c r="A12" s="121">
        <f t="shared" si="3"/>
        <v>6</v>
      </c>
      <c r="C12" s="122"/>
      <c r="D12" s="123"/>
      <c r="E12" s="123"/>
      <c r="F12" s="124">
        <f t="shared" si="0"/>
      </c>
      <c r="G12" s="121">
        <v>2013</v>
      </c>
      <c r="H12" s="124">
        <f t="shared" si="1"/>
        <v>2014</v>
      </c>
      <c r="I12" s="125"/>
      <c r="J12" s="126"/>
      <c r="K12" s="126"/>
      <c r="L12" s="125"/>
      <c r="M12" s="127"/>
      <c r="N12" s="125"/>
      <c r="O12" s="128"/>
      <c r="P12" s="128"/>
      <c r="Q12" s="124">
        <f t="shared" si="2"/>
        <v>1</v>
      </c>
      <c r="R12" s="129"/>
      <c r="S12" s="130"/>
    </row>
    <row r="13" spans="1:19" ht="12.75" customHeight="1">
      <c r="A13" s="121">
        <f t="shared" si="3"/>
        <v>7</v>
      </c>
      <c r="C13" s="122"/>
      <c r="D13" s="123"/>
      <c r="E13" s="123"/>
      <c r="F13" s="124">
        <f t="shared" si="0"/>
      </c>
      <c r="G13" s="121">
        <v>2013</v>
      </c>
      <c r="H13" s="124">
        <f t="shared" si="1"/>
        <v>2014</v>
      </c>
      <c r="I13" s="125"/>
      <c r="J13" s="126"/>
      <c r="K13" s="126"/>
      <c r="L13" s="125"/>
      <c r="M13" s="127"/>
      <c r="N13" s="125"/>
      <c r="O13" s="128"/>
      <c r="P13" s="128"/>
      <c r="Q13" s="124">
        <f t="shared" si="2"/>
        <v>1</v>
      </c>
      <c r="R13" s="129"/>
      <c r="S13" s="130"/>
    </row>
    <row r="14" spans="1:19" ht="12.75" customHeight="1">
      <c r="A14" s="121">
        <f t="shared" si="3"/>
        <v>8</v>
      </c>
      <c r="C14" s="122"/>
      <c r="D14" s="123"/>
      <c r="E14" s="123"/>
      <c r="F14" s="124">
        <f t="shared" si="0"/>
      </c>
      <c r="G14" s="121">
        <v>2013</v>
      </c>
      <c r="H14" s="124">
        <f t="shared" si="1"/>
        <v>2014</v>
      </c>
      <c r="I14" s="125"/>
      <c r="J14" s="126"/>
      <c r="K14" s="126"/>
      <c r="L14" s="125"/>
      <c r="M14" s="127"/>
      <c r="N14" s="125"/>
      <c r="O14" s="128"/>
      <c r="P14" s="128"/>
      <c r="Q14" s="124">
        <f t="shared" si="2"/>
        <v>1</v>
      </c>
      <c r="R14" s="129"/>
      <c r="S14" s="130"/>
    </row>
    <row r="15" spans="1:19" ht="12.75" customHeight="1">
      <c r="A15" s="121">
        <f t="shared" si="3"/>
        <v>9</v>
      </c>
      <c r="C15" s="122"/>
      <c r="D15" s="123"/>
      <c r="E15" s="123"/>
      <c r="F15" s="124">
        <f t="shared" si="0"/>
      </c>
      <c r="G15" s="121">
        <v>2013</v>
      </c>
      <c r="H15" s="124">
        <f t="shared" si="1"/>
        <v>2014</v>
      </c>
      <c r="I15" s="125"/>
      <c r="J15" s="126"/>
      <c r="K15" s="126"/>
      <c r="L15" s="125"/>
      <c r="M15" s="127"/>
      <c r="N15" s="125"/>
      <c r="O15" s="128"/>
      <c r="P15" s="128"/>
      <c r="Q15" s="124">
        <f t="shared" si="2"/>
        <v>1</v>
      </c>
      <c r="R15" s="129"/>
      <c r="S15" s="130"/>
    </row>
    <row r="16" spans="1:19" ht="12.75" customHeight="1">
      <c r="A16" s="121">
        <f t="shared" si="3"/>
        <v>10</v>
      </c>
      <c r="C16" s="122"/>
      <c r="D16" s="123"/>
      <c r="E16" s="123"/>
      <c r="F16" s="124">
        <f t="shared" si="0"/>
      </c>
      <c r="G16" s="121">
        <v>2013</v>
      </c>
      <c r="H16" s="124">
        <f t="shared" si="1"/>
        <v>2014</v>
      </c>
      <c r="I16" s="125"/>
      <c r="J16" s="126"/>
      <c r="K16" s="126"/>
      <c r="L16" s="125"/>
      <c r="M16" s="127"/>
      <c r="N16" s="125"/>
      <c r="O16" s="128"/>
      <c r="P16" s="128"/>
      <c r="Q16" s="124">
        <f t="shared" si="2"/>
        <v>1</v>
      </c>
      <c r="R16" s="129"/>
      <c r="S16" s="130"/>
    </row>
    <row r="17" spans="1:19" ht="12.75" customHeight="1">
      <c r="A17" s="121">
        <f t="shared" si="3"/>
        <v>11</v>
      </c>
      <c r="C17" s="122"/>
      <c r="D17" s="123"/>
      <c r="E17" s="123"/>
      <c r="F17" s="124">
        <f t="shared" si="0"/>
      </c>
      <c r="G17" s="121">
        <v>2013</v>
      </c>
      <c r="H17" s="124">
        <f t="shared" si="1"/>
        <v>2014</v>
      </c>
      <c r="I17" s="125"/>
      <c r="J17" s="126"/>
      <c r="K17" s="126"/>
      <c r="L17" s="125"/>
      <c r="M17" s="127"/>
      <c r="N17" s="125"/>
      <c r="O17" s="128"/>
      <c r="P17" s="128"/>
      <c r="Q17" s="124">
        <f t="shared" si="2"/>
        <v>1</v>
      </c>
      <c r="R17" s="129"/>
      <c r="S17" s="130"/>
    </row>
    <row r="18" spans="1:19" ht="12.75" customHeight="1">
      <c r="A18" s="121">
        <f t="shared" si="3"/>
        <v>12</v>
      </c>
      <c r="C18" s="122"/>
      <c r="D18" s="123"/>
      <c r="E18" s="123"/>
      <c r="F18" s="124">
        <f t="shared" si="0"/>
      </c>
      <c r="G18" s="121">
        <v>2013</v>
      </c>
      <c r="H18" s="124">
        <f t="shared" si="1"/>
        <v>2014</v>
      </c>
      <c r="I18" s="125"/>
      <c r="J18" s="126"/>
      <c r="K18" s="126"/>
      <c r="L18" s="125"/>
      <c r="M18" s="127"/>
      <c r="N18" s="125"/>
      <c r="O18" s="128"/>
      <c r="P18" s="128"/>
      <c r="Q18" s="124">
        <f t="shared" si="2"/>
        <v>1</v>
      </c>
      <c r="R18" s="129"/>
      <c r="S18" s="130"/>
    </row>
    <row r="19" spans="1:19" ht="12.75" customHeight="1">
      <c r="A19" s="121">
        <f t="shared" si="3"/>
        <v>13</v>
      </c>
      <c r="C19" s="122"/>
      <c r="D19" s="123"/>
      <c r="E19" s="123"/>
      <c r="F19" s="124">
        <f t="shared" si="0"/>
      </c>
      <c r="G19" s="121">
        <v>2013</v>
      </c>
      <c r="H19" s="124">
        <f t="shared" si="1"/>
        <v>2014</v>
      </c>
      <c r="I19" s="125"/>
      <c r="J19" s="126"/>
      <c r="K19" s="126"/>
      <c r="L19" s="125"/>
      <c r="M19" s="127"/>
      <c r="N19" s="125"/>
      <c r="O19" s="128"/>
      <c r="P19" s="128"/>
      <c r="Q19" s="124">
        <f t="shared" si="2"/>
        <v>1</v>
      </c>
      <c r="R19" s="129"/>
      <c r="S19" s="130"/>
    </row>
    <row r="20" spans="1:19" ht="12.75" customHeight="1">
      <c r="A20" s="121">
        <f t="shared" si="3"/>
        <v>14</v>
      </c>
      <c r="C20" s="122"/>
      <c r="D20" s="123"/>
      <c r="E20" s="123"/>
      <c r="F20" s="124">
        <f t="shared" si="0"/>
      </c>
      <c r="G20" s="121">
        <v>2013</v>
      </c>
      <c r="H20" s="124">
        <f t="shared" si="1"/>
        <v>2014</v>
      </c>
      <c r="I20" s="125"/>
      <c r="J20" s="126"/>
      <c r="K20" s="126"/>
      <c r="L20" s="125"/>
      <c r="M20" s="127"/>
      <c r="N20" s="125"/>
      <c r="O20" s="128"/>
      <c r="P20" s="128"/>
      <c r="Q20" s="124">
        <f t="shared" si="2"/>
        <v>1</v>
      </c>
      <c r="R20" s="129"/>
      <c r="S20" s="130"/>
    </row>
    <row r="21" spans="1:19" ht="12.75" customHeight="1">
      <c r="A21" s="121">
        <f t="shared" si="3"/>
        <v>15</v>
      </c>
      <c r="C21" s="122"/>
      <c r="D21" s="123"/>
      <c r="E21" s="123"/>
      <c r="F21" s="124">
        <f t="shared" si="0"/>
      </c>
      <c r="G21" s="121">
        <v>2013</v>
      </c>
      <c r="H21" s="124">
        <f t="shared" si="1"/>
        <v>2014</v>
      </c>
      <c r="I21" s="125"/>
      <c r="J21" s="126"/>
      <c r="K21" s="126"/>
      <c r="L21" s="125"/>
      <c r="M21" s="127"/>
      <c r="N21" s="125"/>
      <c r="O21" s="128"/>
      <c r="P21" s="128"/>
      <c r="Q21" s="124">
        <f t="shared" si="2"/>
        <v>1</v>
      </c>
      <c r="R21" s="129"/>
      <c r="S21" s="130"/>
    </row>
    <row r="22" spans="1:19" ht="12.75" customHeight="1">
      <c r="A22" s="121">
        <f t="shared" si="3"/>
        <v>16</v>
      </c>
      <c r="C22" s="122"/>
      <c r="D22" s="123"/>
      <c r="E22" s="123"/>
      <c r="F22" s="124">
        <f t="shared" si="0"/>
      </c>
      <c r="G22" s="121">
        <v>2013</v>
      </c>
      <c r="H22" s="124">
        <f t="shared" si="1"/>
        <v>2014</v>
      </c>
      <c r="I22" s="125"/>
      <c r="J22" s="126"/>
      <c r="K22" s="126"/>
      <c r="L22" s="125"/>
      <c r="M22" s="127"/>
      <c r="N22" s="125"/>
      <c r="O22" s="128"/>
      <c r="P22" s="128"/>
      <c r="Q22" s="124">
        <f t="shared" si="2"/>
        <v>1</v>
      </c>
      <c r="R22" s="129"/>
      <c r="S22" s="130"/>
    </row>
    <row r="23" spans="1:19" ht="12.75" customHeight="1">
      <c r="A23" s="121">
        <f t="shared" si="3"/>
        <v>17</v>
      </c>
      <c r="C23" s="122"/>
      <c r="D23" s="123"/>
      <c r="E23" s="123"/>
      <c r="F23" s="124">
        <f t="shared" si="0"/>
      </c>
      <c r="G23" s="121">
        <v>2013</v>
      </c>
      <c r="H23" s="124">
        <f t="shared" si="1"/>
        <v>2014</v>
      </c>
      <c r="I23" s="125"/>
      <c r="J23" s="126"/>
      <c r="K23" s="126"/>
      <c r="L23" s="125"/>
      <c r="M23" s="127"/>
      <c r="N23" s="125"/>
      <c r="O23" s="128"/>
      <c r="P23" s="128"/>
      <c r="Q23" s="124">
        <f t="shared" si="2"/>
        <v>1</v>
      </c>
      <c r="R23" s="129"/>
      <c r="S23" s="130"/>
    </row>
    <row r="24" spans="1:19" ht="12.75" customHeight="1">
      <c r="A24" s="121">
        <f t="shared" si="3"/>
        <v>18</v>
      </c>
      <c r="C24" s="122"/>
      <c r="D24" s="123"/>
      <c r="E24" s="123"/>
      <c r="F24" s="124">
        <f t="shared" si="0"/>
      </c>
      <c r="G24" s="121">
        <v>2013</v>
      </c>
      <c r="H24" s="124">
        <f t="shared" si="1"/>
        <v>2014</v>
      </c>
      <c r="I24" s="125"/>
      <c r="J24" s="126"/>
      <c r="K24" s="126"/>
      <c r="L24" s="125"/>
      <c r="M24" s="127"/>
      <c r="N24" s="125"/>
      <c r="O24" s="123"/>
      <c r="P24" s="123"/>
      <c r="Q24" s="124">
        <f t="shared" si="2"/>
        <v>1</v>
      </c>
      <c r="R24" s="129"/>
      <c r="S24" s="130"/>
    </row>
    <row r="25" spans="1:19" ht="12.75" customHeight="1">
      <c r="A25" s="121">
        <f t="shared" si="3"/>
        <v>19</v>
      </c>
      <c r="C25" s="122"/>
      <c r="D25" s="123"/>
      <c r="E25" s="123"/>
      <c r="F25" s="124">
        <f t="shared" si="0"/>
      </c>
      <c r="G25" s="121">
        <v>2013</v>
      </c>
      <c r="H25" s="124">
        <f t="shared" si="1"/>
        <v>2014</v>
      </c>
      <c r="I25" s="125"/>
      <c r="J25" s="126"/>
      <c r="K25" s="126"/>
      <c r="L25" s="125"/>
      <c r="M25" s="127"/>
      <c r="N25" s="125"/>
      <c r="O25" s="128"/>
      <c r="P25" s="128"/>
      <c r="Q25" s="124">
        <f t="shared" si="2"/>
        <v>1</v>
      </c>
      <c r="R25" s="129"/>
      <c r="S25" s="130"/>
    </row>
    <row r="26" spans="1:19" ht="12.75" customHeight="1">
      <c r="A26" s="121">
        <f t="shared" si="3"/>
        <v>20</v>
      </c>
      <c r="C26" s="122"/>
      <c r="D26" s="123"/>
      <c r="E26" s="123"/>
      <c r="F26" s="124">
        <f t="shared" si="0"/>
      </c>
      <c r="G26" s="121">
        <v>2013</v>
      </c>
      <c r="H26" s="124">
        <f t="shared" si="1"/>
        <v>2014</v>
      </c>
      <c r="I26" s="125"/>
      <c r="J26" s="126"/>
      <c r="K26" s="126"/>
      <c r="L26" s="125"/>
      <c r="M26" s="127"/>
      <c r="N26" s="125"/>
      <c r="O26" s="128"/>
      <c r="P26" s="128"/>
      <c r="Q26" s="124">
        <f t="shared" si="2"/>
        <v>1</v>
      </c>
      <c r="R26" s="129"/>
      <c r="S26" s="130"/>
    </row>
    <row r="27" spans="1:19" ht="12.75" customHeight="1">
      <c r="A27" s="121">
        <f t="shared" si="3"/>
        <v>21</v>
      </c>
      <c r="C27" s="122"/>
      <c r="D27" s="123"/>
      <c r="E27" s="123"/>
      <c r="F27" s="124">
        <f t="shared" si="0"/>
      </c>
      <c r="G27" s="121">
        <v>2013</v>
      </c>
      <c r="H27" s="124">
        <f t="shared" si="1"/>
        <v>2014</v>
      </c>
      <c r="I27" s="125"/>
      <c r="J27" s="126"/>
      <c r="K27" s="126"/>
      <c r="L27" s="125"/>
      <c r="M27" s="127"/>
      <c r="N27" s="125"/>
      <c r="O27" s="128"/>
      <c r="P27" s="128"/>
      <c r="Q27" s="124">
        <f t="shared" si="2"/>
        <v>1</v>
      </c>
      <c r="R27" s="129"/>
      <c r="S27" s="130"/>
    </row>
    <row r="28" spans="1:19" ht="12.75" customHeight="1">
      <c r="A28" s="121">
        <f t="shared" si="3"/>
        <v>22</v>
      </c>
      <c r="C28" s="122"/>
      <c r="D28" s="123"/>
      <c r="E28" s="123"/>
      <c r="F28" s="124">
        <f t="shared" si="0"/>
      </c>
      <c r="G28" s="121">
        <v>2013</v>
      </c>
      <c r="H28" s="124">
        <f t="shared" si="1"/>
        <v>2014</v>
      </c>
      <c r="I28" s="125"/>
      <c r="J28" s="126"/>
      <c r="K28" s="126"/>
      <c r="L28" s="125"/>
      <c r="M28" s="127"/>
      <c r="N28" s="125"/>
      <c r="O28" s="128"/>
      <c r="P28" s="128"/>
      <c r="Q28" s="124">
        <f t="shared" si="2"/>
        <v>1</v>
      </c>
      <c r="R28" s="129"/>
      <c r="S28" s="130"/>
    </row>
    <row r="29" spans="1:19" ht="12.75" customHeight="1">
      <c r="A29" s="121">
        <f t="shared" si="3"/>
        <v>23</v>
      </c>
      <c r="C29" s="122"/>
      <c r="D29" s="123"/>
      <c r="E29" s="123"/>
      <c r="F29" s="124">
        <f t="shared" si="0"/>
      </c>
      <c r="G29" s="121">
        <v>2013</v>
      </c>
      <c r="H29" s="124">
        <f t="shared" si="1"/>
        <v>2014</v>
      </c>
      <c r="I29" s="125"/>
      <c r="J29" s="126"/>
      <c r="K29" s="126"/>
      <c r="L29" s="125"/>
      <c r="M29" s="127"/>
      <c r="N29" s="125"/>
      <c r="O29" s="128"/>
      <c r="P29" s="128"/>
      <c r="Q29" s="124">
        <f t="shared" si="2"/>
        <v>1</v>
      </c>
      <c r="R29" s="129"/>
      <c r="S29" s="130"/>
    </row>
    <row r="30" spans="1:19" ht="12.75" customHeight="1">
      <c r="A30" s="121">
        <f t="shared" si="3"/>
        <v>24</v>
      </c>
      <c r="C30" s="122"/>
      <c r="D30" s="123"/>
      <c r="E30" s="123"/>
      <c r="F30" s="124">
        <f t="shared" si="0"/>
      </c>
      <c r="G30" s="121">
        <v>2013</v>
      </c>
      <c r="H30" s="124">
        <f t="shared" si="1"/>
        <v>2014</v>
      </c>
      <c r="I30" s="125"/>
      <c r="J30" s="126"/>
      <c r="K30" s="126"/>
      <c r="L30" s="125"/>
      <c r="M30" s="127"/>
      <c r="N30" s="125"/>
      <c r="O30" s="128"/>
      <c r="P30" s="128"/>
      <c r="Q30" s="124">
        <f t="shared" si="2"/>
        <v>1</v>
      </c>
      <c r="R30" s="129"/>
      <c r="S30" s="130"/>
    </row>
    <row r="31" spans="1:19" ht="12.75" customHeight="1">
      <c r="A31" s="121">
        <f t="shared" si="3"/>
        <v>25</v>
      </c>
      <c r="C31" s="122"/>
      <c r="D31" s="123"/>
      <c r="E31" s="123"/>
      <c r="F31" s="124">
        <f t="shared" si="0"/>
      </c>
      <c r="G31" s="121">
        <v>2013</v>
      </c>
      <c r="H31" s="124">
        <f t="shared" si="1"/>
        <v>2014</v>
      </c>
      <c r="I31" s="125"/>
      <c r="J31" s="126"/>
      <c r="K31" s="126"/>
      <c r="L31" s="125"/>
      <c r="M31" s="127"/>
      <c r="N31" s="125"/>
      <c r="O31" s="128"/>
      <c r="P31" s="128"/>
      <c r="Q31" s="124">
        <f t="shared" si="2"/>
        <v>1</v>
      </c>
      <c r="R31" s="129"/>
      <c r="S31" s="130"/>
    </row>
    <row r="32" spans="1:19" ht="12.75" customHeight="1">
      <c r="A32" s="121">
        <f t="shared" si="3"/>
        <v>26</v>
      </c>
      <c r="C32" s="122"/>
      <c r="D32" s="123"/>
      <c r="E32" s="123"/>
      <c r="F32" s="124">
        <f t="shared" si="0"/>
      </c>
      <c r="G32" s="121">
        <v>2013</v>
      </c>
      <c r="H32" s="124">
        <f t="shared" si="1"/>
        <v>2014</v>
      </c>
      <c r="I32" s="125"/>
      <c r="J32" s="126"/>
      <c r="K32" s="126"/>
      <c r="L32" s="125"/>
      <c r="M32" s="127"/>
      <c r="N32" s="125"/>
      <c r="O32" s="128"/>
      <c r="P32" s="128"/>
      <c r="Q32" s="124">
        <f t="shared" si="2"/>
        <v>1</v>
      </c>
      <c r="R32" s="129"/>
      <c r="S32" s="130"/>
    </row>
    <row r="33" spans="1:19" ht="12.75" customHeight="1">
      <c r="A33" s="121">
        <f t="shared" si="3"/>
        <v>27</v>
      </c>
      <c r="C33" s="122"/>
      <c r="D33" s="123"/>
      <c r="E33" s="123"/>
      <c r="F33" s="124">
        <f t="shared" si="0"/>
      </c>
      <c r="G33" s="121">
        <v>2013</v>
      </c>
      <c r="H33" s="124">
        <f t="shared" si="1"/>
        <v>2014</v>
      </c>
      <c r="I33" s="125"/>
      <c r="J33" s="126"/>
      <c r="K33" s="126"/>
      <c r="L33" s="125"/>
      <c r="M33" s="127"/>
      <c r="N33" s="125"/>
      <c r="O33" s="128"/>
      <c r="P33" s="128"/>
      <c r="Q33" s="124">
        <f t="shared" si="2"/>
        <v>1</v>
      </c>
      <c r="R33" s="129"/>
      <c r="S33" s="130"/>
    </row>
    <row r="34" spans="1:19" ht="12.75" customHeight="1">
      <c r="A34" s="121">
        <f t="shared" si="3"/>
        <v>28</v>
      </c>
      <c r="C34" s="122"/>
      <c r="D34" s="123"/>
      <c r="E34" s="123"/>
      <c r="F34" s="124">
        <f t="shared" si="0"/>
      </c>
      <c r="G34" s="121">
        <v>2013</v>
      </c>
      <c r="H34" s="124">
        <f t="shared" si="1"/>
        <v>2014</v>
      </c>
      <c r="I34" s="125"/>
      <c r="J34" s="126"/>
      <c r="K34" s="126"/>
      <c r="L34" s="125"/>
      <c r="M34" s="127"/>
      <c r="N34" s="125"/>
      <c r="O34" s="128"/>
      <c r="P34" s="128"/>
      <c r="Q34" s="124">
        <f t="shared" si="2"/>
        <v>1</v>
      </c>
      <c r="R34" s="129"/>
      <c r="S34" s="130"/>
    </row>
    <row r="35" spans="1:19" ht="12.75" customHeight="1">
      <c r="A35" s="121">
        <f t="shared" si="3"/>
        <v>29</v>
      </c>
      <c r="C35" s="122"/>
      <c r="D35" s="123"/>
      <c r="E35" s="123"/>
      <c r="F35" s="124">
        <f t="shared" si="0"/>
      </c>
      <c r="G35" s="121">
        <v>2013</v>
      </c>
      <c r="H35" s="124">
        <f t="shared" si="1"/>
        <v>2014</v>
      </c>
      <c r="I35" s="125"/>
      <c r="J35" s="126"/>
      <c r="K35" s="126"/>
      <c r="L35" s="125"/>
      <c r="M35" s="127"/>
      <c r="N35" s="125"/>
      <c r="O35" s="128"/>
      <c r="P35" s="128"/>
      <c r="Q35" s="124">
        <f t="shared" si="2"/>
        <v>1</v>
      </c>
      <c r="R35" s="129"/>
      <c r="S35" s="130"/>
    </row>
    <row r="36" spans="1:19" ht="12.75" customHeight="1">
      <c r="A36" s="121">
        <f t="shared" si="3"/>
        <v>30</v>
      </c>
      <c r="C36" s="122"/>
      <c r="D36" s="123"/>
      <c r="E36" s="123"/>
      <c r="F36" s="124">
        <f t="shared" si="0"/>
      </c>
      <c r="G36" s="121">
        <v>2013</v>
      </c>
      <c r="H36" s="124">
        <f t="shared" si="1"/>
        <v>2014</v>
      </c>
      <c r="I36" s="125"/>
      <c r="J36" s="126"/>
      <c r="K36" s="126"/>
      <c r="L36" s="125"/>
      <c r="M36" s="127"/>
      <c r="N36" s="125"/>
      <c r="O36" s="128"/>
      <c r="P36" s="128"/>
      <c r="Q36" s="124">
        <f t="shared" si="2"/>
        <v>1</v>
      </c>
      <c r="R36" s="129"/>
      <c r="S36" s="130"/>
    </row>
    <row r="37" spans="1:19" ht="12.75" customHeight="1">
      <c r="A37" s="121">
        <f t="shared" si="3"/>
        <v>31</v>
      </c>
      <c r="C37" s="122"/>
      <c r="D37" s="123"/>
      <c r="E37" s="123"/>
      <c r="F37" s="124">
        <f t="shared" si="0"/>
      </c>
      <c r="G37" s="121">
        <v>2013</v>
      </c>
      <c r="H37" s="124">
        <f t="shared" si="1"/>
        <v>2014</v>
      </c>
      <c r="I37" s="125"/>
      <c r="J37" s="126"/>
      <c r="K37" s="126"/>
      <c r="L37" s="125"/>
      <c r="M37" s="127"/>
      <c r="N37" s="125"/>
      <c r="O37" s="128"/>
      <c r="P37" s="128"/>
      <c r="Q37" s="124">
        <f t="shared" si="2"/>
        <v>1</v>
      </c>
      <c r="R37" s="129"/>
      <c r="S37" s="130"/>
    </row>
    <row r="38" spans="1:19" ht="12.75" customHeight="1">
      <c r="A38" s="121">
        <f t="shared" si="3"/>
        <v>32</v>
      </c>
      <c r="C38" s="122"/>
      <c r="D38" s="123"/>
      <c r="E38" s="123"/>
      <c r="F38" s="124">
        <f t="shared" si="0"/>
      </c>
      <c r="G38" s="121">
        <v>2013</v>
      </c>
      <c r="H38" s="124">
        <f t="shared" si="1"/>
        <v>2014</v>
      </c>
      <c r="I38" s="125"/>
      <c r="J38" s="126"/>
      <c r="K38" s="126"/>
      <c r="L38" s="125"/>
      <c r="M38" s="127"/>
      <c r="N38" s="125"/>
      <c r="O38" s="128"/>
      <c r="P38" s="128"/>
      <c r="Q38" s="124">
        <f t="shared" si="2"/>
        <v>1</v>
      </c>
      <c r="R38" s="129"/>
      <c r="S38" s="130"/>
    </row>
    <row r="39" spans="1:19" ht="12.75" customHeight="1">
      <c r="A39" s="121">
        <f t="shared" si="3"/>
        <v>33</v>
      </c>
      <c r="C39" s="122"/>
      <c r="D39" s="123"/>
      <c r="E39" s="123"/>
      <c r="F39" s="124">
        <f t="shared" si="0"/>
      </c>
      <c r="G39" s="121">
        <v>2013</v>
      </c>
      <c r="H39" s="124">
        <f t="shared" si="1"/>
        <v>2014</v>
      </c>
      <c r="I39" s="125"/>
      <c r="J39" s="126"/>
      <c r="K39" s="126"/>
      <c r="L39" s="125"/>
      <c r="M39" s="127"/>
      <c r="N39" s="125"/>
      <c r="O39" s="128"/>
      <c r="P39" s="128"/>
      <c r="Q39" s="124">
        <f t="shared" si="2"/>
        <v>1</v>
      </c>
      <c r="R39" s="129"/>
      <c r="S39" s="130"/>
    </row>
    <row r="40" spans="1:19" ht="12.75" customHeight="1">
      <c r="A40" s="121">
        <f t="shared" si="3"/>
        <v>34</v>
      </c>
      <c r="C40" s="122"/>
      <c r="D40" s="123"/>
      <c r="E40" s="123"/>
      <c r="F40" s="124">
        <f t="shared" si="0"/>
      </c>
      <c r="G40" s="121">
        <v>2013</v>
      </c>
      <c r="H40" s="124">
        <f t="shared" si="1"/>
        <v>2014</v>
      </c>
      <c r="I40" s="125"/>
      <c r="J40" s="126"/>
      <c r="K40" s="126"/>
      <c r="L40" s="125"/>
      <c r="M40" s="127"/>
      <c r="N40" s="125"/>
      <c r="O40" s="128"/>
      <c r="P40" s="128"/>
      <c r="Q40" s="124">
        <f t="shared" si="2"/>
        <v>1</v>
      </c>
      <c r="R40" s="129"/>
      <c r="S40" s="130"/>
    </row>
    <row r="41" spans="1:19" ht="12.75" customHeight="1">
      <c r="A41" s="121">
        <f t="shared" si="3"/>
        <v>35</v>
      </c>
      <c r="C41" s="122"/>
      <c r="D41" s="123"/>
      <c r="E41" s="123"/>
      <c r="F41" s="124">
        <f t="shared" si="0"/>
      </c>
      <c r="G41" s="121">
        <v>2013</v>
      </c>
      <c r="H41" s="124">
        <f t="shared" si="1"/>
        <v>2014</v>
      </c>
      <c r="I41" s="125"/>
      <c r="J41" s="126"/>
      <c r="K41" s="126"/>
      <c r="L41" s="125"/>
      <c r="M41" s="127"/>
      <c r="N41" s="125"/>
      <c r="O41" s="128"/>
      <c r="P41" s="128"/>
      <c r="Q41" s="124">
        <f t="shared" si="2"/>
        <v>1</v>
      </c>
      <c r="R41" s="129"/>
      <c r="S41" s="130"/>
    </row>
    <row r="42" spans="1:19" ht="12.75" customHeight="1">
      <c r="A42" s="121">
        <f t="shared" si="3"/>
        <v>36</v>
      </c>
      <c r="C42" s="122"/>
      <c r="D42" s="123"/>
      <c r="E42" s="123"/>
      <c r="F42" s="124">
        <f t="shared" si="0"/>
      </c>
      <c r="G42" s="121">
        <v>2013</v>
      </c>
      <c r="H42" s="124">
        <f t="shared" si="1"/>
        <v>2014</v>
      </c>
      <c r="I42" s="125"/>
      <c r="J42" s="126"/>
      <c r="K42" s="126"/>
      <c r="L42" s="125"/>
      <c r="M42" s="127"/>
      <c r="N42" s="125"/>
      <c r="O42" s="128"/>
      <c r="P42" s="128"/>
      <c r="Q42" s="124">
        <f t="shared" si="2"/>
        <v>1</v>
      </c>
      <c r="R42" s="129"/>
      <c r="S42" s="130"/>
    </row>
    <row r="43" spans="1:19" ht="12.75" customHeight="1">
      <c r="A43" s="121">
        <f t="shared" si="3"/>
        <v>37</v>
      </c>
      <c r="C43" s="122"/>
      <c r="D43" s="123"/>
      <c r="E43" s="123"/>
      <c r="F43" s="124">
        <f t="shared" si="0"/>
      </c>
      <c r="G43" s="121">
        <v>2013</v>
      </c>
      <c r="H43" s="124">
        <f t="shared" si="1"/>
        <v>2014</v>
      </c>
      <c r="I43" s="125"/>
      <c r="J43" s="126"/>
      <c r="K43" s="126"/>
      <c r="L43" s="125"/>
      <c r="M43" s="127"/>
      <c r="N43" s="125"/>
      <c r="O43" s="128"/>
      <c r="P43" s="128"/>
      <c r="Q43" s="124">
        <f t="shared" si="2"/>
        <v>1</v>
      </c>
      <c r="R43" s="129"/>
      <c r="S43" s="130"/>
    </row>
    <row r="44" spans="1:19" ht="12.75" customHeight="1">
      <c r="A44" s="121">
        <f t="shared" si="3"/>
        <v>38</v>
      </c>
      <c r="C44" s="122"/>
      <c r="D44" s="123"/>
      <c r="E44" s="123"/>
      <c r="F44" s="124">
        <f t="shared" si="0"/>
      </c>
      <c r="G44" s="121">
        <v>2013</v>
      </c>
      <c r="H44" s="124">
        <f t="shared" si="1"/>
        <v>2014</v>
      </c>
      <c r="I44" s="125"/>
      <c r="J44" s="126"/>
      <c r="K44" s="126"/>
      <c r="L44" s="125"/>
      <c r="M44" s="127"/>
      <c r="N44" s="125"/>
      <c r="O44" s="128"/>
      <c r="P44" s="128"/>
      <c r="Q44" s="124">
        <f t="shared" si="2"/>
        <v>1</v>
      </c>
      <c r="R44" s="129"/>
      <c r="S44" s="130"/>
    </row>
    <row r="45" spans="1:19" ht="12.75" customHeight="1">
      <c r="A45" s="121">
        <f t="shared" si="3"/>
        <v>39</v>
      </c>
      <c r="C45" s="122"/>
      <c r="D45" s="123"/>
      <c r="E45" s="123"/>
      <c r="F45" s="124">
        <f t="shared" si="0"/>
      </c>
      <c r="G45" s="121">
        <v>2013</v>
      </c>
      <c r="H45" s="124">
        <f t="shared" si="1"/>
        <v>2014</v>
      </c>
      <c r="I45" s="125"/>
      <c r="J45" s="126"/>
      <c r="K45" s="126"/>
      <c r="L45" s="125"/>
      <c r="M45" s="127"/>
      <c r="N45" s="125"/>
      <c r="O45" s="128"/>
      <c r="P45" s="128"/>
      <c r="Q45" s="124">
        <f t="shared" si="2"/>
        <v>1</v>
      </c>
      <c r="R45" s="129"/>
      <c r="S45" s="130"/>
    </row>
    <row r="46" spans="1:19" ht="12.75" customHeight="1">
      <c r="A46" s="121">
        <f t="shared" si="3"/>
        <v>40</v>
      </c>
      <c r="C46" s="122"/>
      <c r="D46" s="123"/>
      <c r="E46" s="123"/>
      <c r="F46" s="124">
        <f t="shared" si="0"/>
      </c>
      <c r="G46" s="121">
        <v>2013</v>
      </c>
      <c r="H46" s="124">
        <f t="shared" si="1"/>
        <v>2014</v>
      </c>
      <c r="I46" s="125"/>
      <c r="J46" s="126"/>
      <c r="K46" s="126"/>
      <c r="L46" s="125"/>
      <c r="M46" s="127"/>
      <c r="N46" s="125"/>
      <c r="O46" s="128"/>
      <c r="P46" s="128"/>
      <c r="Q46" s="124">
        <f t="shared" si="2"/>
        <v>1</v>
      </c>
      <c r="R46" s="129"/>
      <c r="S46" s="130"/>
    </row>
    <row r="47" spans="1:19" ht="12.75" customHeight="1">
      <c r="A47" s="121">
        <f t="shared" si="3"/>
        <v>41</v>
      </c>
      <c r="C47" s="122"/>
      <c r="D47" s="123"/>
      <c r="E47" s="123"/>
      <c r="F47" s="124">
        <f t="shared" si="0"/>
      </c>
      <c r="G47" s="121">
        <v>2013</v>
      </c>
      <c r="H47" s="124">
        <f t="shared" si="1"/>
        <v>2014</v>
      </c>
      <c r="I47" s="125"/>
      <c r="J47" s="126"/>
      <c r="K47" s="126"/>
      <c r="L47" s="125"/>
      <c r="M47" s="127"/>
      <c r="N47" s="125"/>
      <c r="O47" s="128"/>
      <c r="P47" s="128"/>
      <c r="Q47" s="124">
        <f t="shared" si="2"/>
        <v>1</v>
      </c>
      <c r="R47" s="129"/>
      <c r="S47" s="130"/>
    </row>
    <row r="48" spans="1:19" ht="12.75" customHeight="1">
      <c r="A48" s="121">
        <f t="shared" si="3"/>
        <v>42</v>
      </c>
      <c r="C48" s="122"/>
      <c r="D48" s="123"/>
      <c r="E48" s="123"/>
      <c r="F48" s="124">
        <f t="shared" si="0"/>
      </c>
      <c r="G48" s="121">
        <v>2013</v>
      </c>
      <c r="H48" s="124">
        <f t="shared" si="1"/>
        <v>2014</v>
      </c>
      <c r="I48" s="125"/>
      <c r="J48" s="126"/>
      <c r="K48" s="126"/>
      <c r="L48" s="125"/>
      <c r="M48" s="127"/>
      <c r="N48" s="125"/>
      <c r="O48" s="128"/>
      <c r="P48" s="128"/>
      <c r="Q48" s="124">
        <f t="shared" si="2"/>
        <v>1</v>
      </c>
      <c r="R48" s="129"/>
      <c r="S48" s="130"/>
    </row>
    <row r="49" spans="1:19" ht="12.75">
      <c r="A49" s="121">
        <f t="shared" si="3"/>
        <v>43</v>
      </c>
      <c r="C49" s="122"/>
      <c r="D49" s="123"/>
      <c r="E49" s="123"/>
      <c r="F49" s="124">
        <f t="shared" si="0"/>
      </c>
      <c r="G49" s="121">
        <v>2013</v>
      </c>
      <c r="H49" s="124">
        <f t="shared" si="1"/>
        <v>2014</v>
      </c>
      <c r="I49" s="125"/>
      <c r="J49" s="126"/>
      <c r="K49" s="126"/>
      <c r="L49" s="125"/>
      <c r="M49" s="127"/>
      <c r="N49" s="125"/>
      <c r="O49" s="128"/>
      <c r="P49" s="128"/>
      <c r="Q49" s="124">
        <f t="shared" si="2"/>
        <v>1</v>
      </c>
      <c r="R49" s="129"/>
      <c r="S49" s="130"/>
    </row>
    <row r="50" spans="1:19" ht="12.75">
      <c r="A50" s="121">
        <f t="shared" si="3"/>
        <v>44</v>
      </c>
      <c r="C50" s="122"/>
      <c r="D50" s="123"/>
      <c r="E50" s="123"/>
      <c r="F50" s="124">
        <f t="shared" si="0"/>
      </c>
      <c r="G50" s="121">
        <v>2013</v>
      </c>
      <c r="H50" s="124">
        <f t="shared" si="1"/>
        <v>2014</v>
      </c>
      <c r="I50" s="125"/>
      <c r="J50" s="126"/>
      <c r="K50" s="126"/>
      <c r="L50" s="125"/>
      <c r="M50" s="127"/>
      <c r="N50" s="125"/>
      <c r="O50" s="128"/>
      <c r="P50" s="128"/>
      <c r="Q50" s="124">
        <f t="shared" si="2"/>
        <v>1</v>
      </c>
      <c r="R50" s="129"/>
      <c r="S50" s="130"/>
    </row>
    <row r="51" spans="1:19" ht="12.75">
      <c r="A51" s="121">
        <f t="shared" si="3"/>
        <v>45</v>
      </c>
      <c r="C51" s="122"/>
      <c r="D51" s="123"/>
      <c r="E51" s="123"/>
      <c r="F51" s="124">
        <f t="shared" si="0"/>
      </c>
      <c r="G51" s="121">
        <v>2013</v>
      </c>
      <c r="H51" s="124">
        <f t="shared" si="1"/>
        <v>2014</v>
      </c>
      <c r="I51" s="125"/>
      <c r="J51" s="126"/>
      <c r="K51" s="126"/>
      <c r="L51" s="125"/>
      <c r="M51" s="127"/>
      <c r="N51" s="125"/>
      <c r="O51" s="128"/>
      <c r="P51" s="128"/>
      <c r="Q51" s="124">
        <f t="shared" si="2"/>
        <v>1</v>
      </c>
      <c r="R51" s="129"/>
      <c r="S51" s="130"/>
    </row>
    <row r="52" spans="1:19" ht="12.75">
      <c r="A52" s="121">
        <f t="shared" si="3"/>
        <v>46</v>
      </c>
      <c r="C52" s="122"/>
      <c r="D52" s="123"/>
      <c r="E52" s="123"/>
      <c r="F52" s="124">
        <f t="shared" si="0"/>
      </c>
      <c r="G52" s="121">
        <v>2013</v>
      </c>
      <c r="H52" s="124">
        <f t="shared" si="1"/>
        <v>2014</v>
      </c>
      <c r="I52" s="125"/>
      <c r="J52" s="126"/>
      <c r="K52" s="126"/>
      <c r="L52" s="125"/>
      <c r="M52" s="127"/>
      <c r="N52" s="125"/>
      <c r="O52" s="128"/>
      <c r="P52" s="128"/>
      <c r="Q52" s="124">
        <f t="shared" si="2"/>
        <v>1</v>
      </c>
      <c r="R52" s="129"/>
      <c r="S52" s="130"/>
    </row>
    <row r="53" spans="1:19" ht="12.75">
      <c r="A53" s="121">
        <f t="shared" si="3"/>
        <v>47</v>
      </c>
      <c r="C53" s="122"/>
      <c r="D53" s="123"/>
      <c r="E53" s="123"/>
      <c r="F53" s="124">
        <f t="shared" si="0"/>
      </c>
      <c r="G53" s="121">
        <v>2013</v>
      </c>
      <c r="H53" s="124">
        <f t="shared" si="1"/>
        <v>2014</v>
      </c>
      <c r="I53" s="125"/>
      <c r="J53" s="126"/>
      <c r="K53" s="126"/>
      <c r="L53" s="125"/>
      <c r="M53" s="127"/>
      <c r="N53" s="125"/>
      <c r="O53" s="128"/>
      <c r="P53" s="128"/>
      <c r="Q53" s="124">
        <f t="shared" si="2"/>
        <v>1</v>
      </c>
      <c r="R53" s="129"/>
      <c r="S53" s="130"/>
    </row>
    <row r="54" spans="1:19" ht="12.75">
      <c r="A54" s="121">
        <f t="shared" si="3"/>
        <v>48</v>
      </c>
      <c r="C54" s="122"/>
      <c r="D54" s="123"/>
      <c r="E54" s="123"/>
      <c r="F54" s="124">
        <f t="shared" si="0"/>
      </c>
      <c r="G54" s="121">
        <v>2013</v>
      </c>
      <c r="H54" s="124">
        <f t="shared" si="1"/>
        <v>2014</v>
      </c>
      <c r="I54" s="125"/>
      <c r="J54" s="126"/>
      <c r="K54" s="126"/>
      <c r="L54" s="125"/>
      <c r="M54" s="127"/>
      <c r="N54" s="125"/>
      <c r="O54" s="128"/>
      <c r="P54" s="128"/>
      <c r="Q54" s="124">
        <f t="shared" si="2"/>
        <v>1</v>
      </c>
      <c r="R54" s="129"/>
      <c r="S54" s="130"/>
    </row>
    <row r="55" spans="1:19" ht="12.75">
      <c r="A55" s="121">
        <f t="shared" si="3"/>
        <v>49</v>
      </c>
      <c r="C55" s="122"/>
      <c r="D55" s="123"/>
      <c r="E55" s="123"/>
      <c r="F55" s="124">
        <f t="shared" si="0"/>
      </c>
      <c r="G55" s="121">
        <v>2013</v>
      </c>
      <c r="H55" s="124">
        <f t="shared" si="1"/>
        <v>2014</v>
      </c>
      <c r="I55" s="125"/>
      <c r="J55" s="126"/>
      <c r="K55" s="126"/>
      <c r="L55" s="125"/>
      <c r="M55" s="127"/>
      <c r="N55" s="125"/>
      <c r="O55" s="128"/>
      <c r="P55" s="128"/>
      <c r="Q55" s="124">
        <f t="shared" si="2"/>
        <v>1</v>
      </c>
      <c r="R55" s="129"/>
      <c r="S55" s="130"/>
    </row>
    <row r="56" spans="1:19" ht="12.75">
      <c r="A56" s="121">
        <f t="shared" si="3"/>
        <v>50</v>
      </c>
      <c r="C56" s="122"/>
      <c r="D56" s="123"/>
      <c r="E56" s="123"/>
      <c r="F56" s="124">
        <f t="shared" si="0"/>
      </c>
      <c r="G56" s="121">
        <v>2013</v>
      </c>
      <c r="H56" s="124">
        <f t="shared" si="1"/>
        <v>2014</v>
      </c>
      <c r="I56" s="125"/>
      <c r="J56" s="126"/>
      <c r="K56" s="126"/>
      <c r="L56" s="125"/>
      <c r="M56" s="127"/>
      <c r="N56" s="125"/>
      <c r="O56" s="128"/>
      <c r="P56" s="128"/>
      <c r="Q56" s="124">
        <f t="shared" si="2"/>
        <v>1</v>
      </c>
      <c r="R56" s="129"/>
      <c r="S56" s="130"/>
    </row>
    <row r="60" spans="3:7" ht="12.75">
      <c r="C60" s="132"/>
      <c r="D60" s="133"/>
      <c r="E60" s="133"/>
      <c r="F60" s="133"/>
      <c r="G60" s="133"/>
    </row>
  </sheetData>
  <mergeCells count="4">
    <mergeCell ref="A1:C1"/>
    <mergeCell ref="I5:M5"/>
    <mergeCell ref="O5:R5"/>
    <mergeCell ref="D60:G6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B32" sqref="B32"/>
    </sheetView>
  </sheetViews>
  <sheetFormatPr defaultColWidth="11.57421875" defaultRowHeight="12.75"/>
  <cols>
    <col min="1" max="1" width="2.8515625" style="0" customWidth="1"/>
    <col min="2" max="2" width="31.00390625" style="0" customWidth="1"/>
    <col min="3" max="3" width="10.140625" style="0" customWidth="1"/>
    <col min="4" max="4" width="10.8515625" style="0" customWidth="1"/>
    <col min="5" max="5" width="11.28125" style="0" customWidth="1"/>
    <col min="6" max="6" width="12.140625" style="0" customWidth="1"/>
    <col min="7" max="7" width="10.8515625" style="0" customWidth="1"/>
    <col min="8" max="8" width="3.8515625" style="0" customWidth="1"/>
    <col min="9" max="9" width="29.28125" style="0" customWidth="1"/>
    <col min="10" max="10" width="10.8515625" style="0" customWidth="1"/>
    <col min="11" max="11" width="2.28125" style="0" customWidth="1"/>
    <col min="12" max="12" width="2.57421875" style="0" customWidth="1"/>
    <col min="13" max="13" width="8.140625" style="0" customWidth="1"/>
    <col min="14" max="14" width="37.421875" style="0" customWidth="1"/>
    <col min="15" max="26" width="10.8515625" style="0" customWidth="1"/>
  </cols>
  <sheetData>
    <row r="1" spans="1:7" ht="13.5" customHeight="1">
      <c r="A1" s="1"/>
      <c r="B1" s="1"/>
      <c r="C1" s="1"/>
      <c r="D1" s="1"/>
      <c r="E1" s="1"/>
      <c r="F1" s="1"/>
      <c r="G1" s="1"/>
    </row>
    <row r="2" spans="1:7" ht="20.25" customHeight="1">
      <c r="A2" s="2" t="str">
        <f>+Presentacion!C2</f>
        <v>Financialred SA</v>
      </c>
      <c r="B2" s="2"/>
      <c r="C2" s="2"/>
      <c r="D2" s="2"/>
      <c r="E2" s="2"/>
      <c r="F2" s="2"/>
      <c r="G2" s="2"/>
    </row>
    <row r="3" spans="1:7" ht="20.25" customHeight="1">
      <c r="A3" s="3"/>
      <c r="B3" s="4"/>
      <c r="C3" s="4"/>
      <c r="D3" s="4"/>
      <c r="E3" s="4"/>
      <c r="F3" s="4"/>
      <c r="G3" s="4"/>
    </row>
    <row r="4" spans="1:7" ht="20.25" customHeight="1">
      <c r="A4" s="5" t="s">
        <v>0</v>
      </c>
      <c r="B4" s="5"/>
      <c r="C4" s="6"/>
      <c r="D4" s="6"/>
      <c r="E4" s="6"/>
      <c r="F4" s="6"/>
      <c r="G4" s="6"/>
    </row>
    <row r="5" spans="1:7" ht="12.75" customHeight="1">
      <c r="A5" s="7" t="s">
        <v>1</v>
      </c>
      <c r="B5" s="7"/>
      <c r="C5" s="8"/>
      <c r="D5" s="8"/>
      <c r="E5" s="8"/>
      <c r="F5" s="8"/>
      <c r="G5" s="8"/>
    </row>
    <row r="6" spans="1:2" ht="12.75" customHeight="1">
      <c r="A6" s="9"/>
      <c r="B6" s="9"/>
    </row>
    <row r="7" spans="1:15" ht="12.75" customHeight="1">
      <c r="A7" s="10" t="s">
        <v>2</v>
      </c>
      <c r="I7" s="11" t="s">
        <v>3</v>
      </c>
      <c r="J7" s="11"/>
      <c r="K7" s="12"/>
      <c r="L7" s="12"/>
      <c r="M7" s="13" t="s">
        <v>4</v>
      </c>
      <c r="N7" s="13"/>
      <c r="O7" s="13"/>
    </row>
    <row r="8" spans="2:16" ht="12.75" customHeight="1">
      <c r="B8" t="s">
        <v>5</v>
      </c>
      <c r="C8" s="14">
        <v>1</v>
      </c>
      <c r="I8" s="15"/>
      <c r="J8" s="3"/>
      <c r="K8" s="16"/>
      <c r="L8" s="15"/>
      <c r="M8" s="17"/>
      <c r="N8" s="17"/>
      <c r="O8" s="17"/>
      <c r="P8" s="18"/>
    </row>
    <row r="9" spans="2:16" ht="12.75" customHeight="1">
      <c r="B9" s="19" t="s">
        <v>6</v>
      </c>
      <c r="C9" s="20" t="str">
        <f>LOOKUP(C8,Presentacion!A7:A56,Presentacion!C7:C56)</f>
        <v>Juan Perez</v>
      </c>
      <c r="D9" s="20"/>
      <c r="E9" s="20"/>
      <c r="F9" s="20"/>
      <c r="I9" s="21"/>
      <c r="J9" s="19"/>
      <c r="K9" s="22"/>
      <c r="L9" s="21"/>
      <c r="M9" s="19"/>
      <c r="N9" s="19"/>
      <c r="O9" s="22"/>
      <c r="P9" s="18"/>
    </row>
    <row r="10" spans="2:16" ht="12.75" customHeight="1">
      <c r="B10" s="23" t="s">
        <v>7</v>
      </c>
      <c r="C10" s="24">
        <f>LOOKUP(C8,Presentacion!A7:A56,Presentacion!K7:K56)</f>
        <v>14</v>
      </c>
      <c r="D10" s="15" t="s">
        <v>8</v>
      </c>
      <c r="E10" s="25"/>
      <c r="F10" s="8"/>
      <c r="G10" s="19"/>
      <c r="I10" s="26" t="s">
        <v>9</v>
      </c>
      <c r="J10" s="27"/>
      <c r="K10" s="22"/>
      <c r="L10" s="21"/>
      <c r="M10" s="28"/>
      <c r="N10" s="29" t="s">
        <v>10</v>
      </c>
      <c r="O10" s="30"/>
      <c r="P10" s="18"/>
    </row>
    <row r="11" spans="2:16" ht="12.75" customHeight="1">
      <c r="B11" s="22" t="s">
        <v>11</v>
      </c>
      <c r="C11" s="24">
        <f>LOOKUP(C8,Presentacion!A7:A56,Presentacion!J7:J56)</f>
        <v>15</v>
      </c>
      <c r="D11" s="21" t="s">
        <v>8</v>
      </c>
      <c r="I11" s="21" t="s">
        <v>12</v>
      </c>
      <c r="J11" s="27">
        <f>+G33</f>
        <v>1305.164383561644</v>
      </c>
      <c r="K11" s="22"/>
      <c r="L11" s="21"/>
      <c r="M11" s="28"/>
      <c r="N11" s="29"/>
      <c r="O11" s="30"/>
      <c r="P11" s="18"/>
    </row>
    <row r="12" spans="2:16" ht="12.75" customHeight="1">
      <c r="B12" s="19" t="s">
        <v>13</v>
      </c>
      <c r="C12" s="31">
        <v>0.25</v>
      </c>
      <c r="I12" s="21" t="s">
        <v>14</v>
      </c>
      <c r="J12" s="32">
        <f>IF(J11&gt;0,VLOOKUP(J11,Tabla!B8:$E$15,1),0)</f>
        <v>496.08</v>
      </c>
      <c r="K12" s="22"/>
      <c r="L12" s="21"/>
      <c r="M12" s="28"/>
      <c r="N12" s="33" t="s">
        <v>15</v>
      </c>
      <c r="O12" s="30">
        <f>C13*30.4</f>
        <v>5304.8</v>
      </c>
      <c r="P12" s="18"/>
    </row>
    <row r="13" spans="2:16" ht="12.75" customHeight="1">
      <c r="B13" s="22" t="s">
        <v>16</v>
      </c>
      <c r="C13" s="34">
        <f>LOOKUP(C8,Presentacion!A7:A56,Presentacion!I7:I56)</f>
        <v>174.5</v>
      </c>
      <c r="D13" s="35" t="s">
        <v>17</v>
      </c>
      <c r="E13" s="36"/>
      <c r="F13" s="36"/>
      <c r="G13" s="27"/>
      <c r="I13" s="21" t="s">
        <v>18</v>
      </c>
      <c r="J13" s="37">
        <f>J11-J12</f>
        <v>809.084383561644</v>
      </c>
      <c r="K13" s="22"/>
      <c r="L13" s="21"/>
      <c r="M13" s="38" t="s">
        <v>19</v>
      </c>
      <c r="N13" s="33" t="s">
        <v>20</v>
      </c>
      <c r="O13" s="39">
        <f>VLOOKUP(O12,Tabla!$B8:E$15,1)</f>
        <v>4210.42</v>
      </c>
      <c r="P13" s="18"/>
    </row>
    <row r="14" spans="2:16" ht="13.5" customHeight="1">
      <c r="B14" s="19" t="s">
        <v>21</v>
      </c>
      <c r="C14" s="40">
        <f>LOOKUP(C8,Presentacion!A7:A56,Presentacion!D7:D56)</f>
        <v>39859</v>
      </c>
      <c r="D14" s="40"/>
      <c r="E14" s="40"/>
      <c r="F14" s="40"/>
      <c r="G14" s="41"/>
      <c r="I14" s="21" t="s">
        <v>22</v>
      </c>
      <c r="J14" s="42">
        <f>IF(J11&gt;0,VLOOKUP(J11,Tabla!$B$8:$E$15,4),0)</f>
        <v>0.064</v>
      </c>
      <c r="K14" s="22"/>
      <c r="L14" s="21"/>
      <c r="M14" s="38" t="s">
        <v>23</v>
      </c>
      <c r="N14" s="33" t="s">
        <v>24</v>
      </c>
      <c r="O14" s="43">
        <f>+O12-O13</f>
        <v>1094.38</v>
      </c>
      <c r="P14" s="18"/>
    </row>
    <row r="15" spans="2:16" ht="13.5" customHeight="1">
      <c r="B15" s="19" t="s">
        <v>25</v>
      </c>
      <c r="C15" s="44">
        <f>LOOKUP(C8,Presentacion!A7:A56,Presentacion!E7:E56)</f>
        <v>41470</v>
      </c>
      <c r="D15" s="44"/>
      <c r="E15" s="44"/>
      <c r="F15" s="44"/>
      <c r="G15" s="41"/>
      <c r="I15" s="21" t="s">
        <v>26</v>
      </c>
      <c r="J15" s="37">
        <f>J13*J14</f>
        <v>51.78140054794522</v>
      </c>
      <c r="K15" s="22"/>
      <c r="L15" s="21"/>
      <c r="M15" s="28" t="s">
        <v>27</v>
      </c>
      <c r="N15" s="33" t="s">
        <v>28</v>
      </c>
      <c r="O15" s="45">
        <f>VLOOKUP(O12,Tabla!$B$8:$E$15,4)</f>
        <v>0.10880000000000001</v>
      </c>
      <c r="P15" s="18"/>
    </row>
    <row r="16" spans="2:16" ht="12.75" customHeight="1">
      <c r="B16" s="19" t="s">
        <v>29</v>
      </c>
      <c r="C16" s="46">
        <f>(C15-C14)</f>
        <v>1611</v>
      </c>
      <c r="D16" s="27" t="s">
        <v>8</v>
      </c>
      <c r="E16" s="27"/>
      <c r="F16" s="27"/>
      <c r="G16" s="27"/>
      <c r="I16" s="21" t="s">
        <v>30</v>
      </c>
      <c r="J16" s="47">
        <f>IF(J11&gt;0,VLOOKUP(J11,Tabla!$B$8:$E$15,3),0)</f>
        <v>9.52</v>
      </c>
      <c r="K16" s="22"/>
      <c r="L16" s="21"/>
      <c r="M16" s="38" t="s">
        <v>23</v>
      </c>
      <c r="N16" s="33" t="s">
        <v>31</v>
      </c>
      <c r="O16" s="43">
        <f>+O14*O15</f>
        <v>119.06854400000002</v>
      </c>
      <c r="P16" s="18"/>
    </row>
    <row r="17" spans="3:16" ht="12.75" customHeight="1">
      <c r="C17" s="48">
        <f>C16/365</f>
        <v>4.413698630136986</v>
      </c>
      <c r="D17" s="27" t="s">
        <v>32</v>
      </c>
      <c r="E17" s="27"/>
      <c r="F17" s="27"/>
      <c r="G17" s="27"/>
      <c r="I17" s="21" t="s">
        <v>33</v>
      </c>
      <c r="J17" s="37">
        <f>J15+J16</f>
        <v>61.30140054794522</v>
      </c>
      <c r="K17" s="22"/>
      <c r="L17" s="21"/>
      <c r="M17" s="28" t="s">
        <v>34</v>
      </c>
      <c r="N17" s="33" t="s">
        <v>35</v>
      </c>
      <c r="O17" s="49">
        <f>VLOOKUP(O12,Tabla!$B$8:$E$15,3)</f>
        <v>247.23</v>
      </c>
      <c r="P17" s="18"/>
    </row>
    <row r="18" spans="2:16" ht="12.75" customHeight="1">
      <c r="B18" s="19" t="s">
        <v>36</v>
      </c>
      <c r="C18" s="50">
        <v>1</v>
      </c>
      <c r="D18" s="27"/>
      <c r="E18" s="27"/>
      <c r="F18" s="27"/>
      <c r="G18" s="27"/>
      <c r="I18" s="21"/>
      <c r="J18" s="19"/>
      <c r="K18" s="22"/>
      <c r="L18" s="21"/>
      <c r="M18" s="38" t="s">
        <v>23</v>
      </c>
      <c r="N18" s="33" t="s">
        <v>37</v>
      </c>
      <c r="O18" s="43">
        <f>+O16+O17</f>
        <v>366.298544</v>
      </c>
      <c r="P18" s="18"/>
    </row>
    <row r="19" spans="2:16" ht="12.75" customHeight="1">
      <c r="B19" s="19" t="s">
        <v>38</v>
      </c>
      <c r="C19" s="50">
        <v>1</v>
      </c>
      <c r="D19" s="27"/>
      <c r="E19" s="27"/>
      <c r="F19" s="27"/>
      <c r="G19" s="27"/>
      <c r="I19" s="26" t="s">
        <v>39</v>
      </c>
      <c r="J19" s="19"/>
      <c r="K19" s="22"/>
      <c r="L19" s="21"/>
      <c r="M19" s="28"/>
      <c r="N19" s="19"/>
      <c r="O19" s="30"/>
      <c r="P19" s="18"/>
    </row>
    <row r="20" spans="2:16" ht="12.75" customHeight="1">
      <c r="B20" s="19" t="s">
        <v>40</v>
      </c>
      <c r="C20" s="48">
        <f>LOOKUP(C8,Presentacion!A7:A56,Presentacion!N7:N56)</f>
        <v>64.76</v>
      </c>
      <c r="D20" s="27"/>
      <c r="E20" s="27"/>
      <c r="F20" s="27"/>
      <c r="G20" s="27"/>
      <c r="I20" s="21" t="s">
        <v>26</v>
      </c>
      <c r="K20" s="22"/>
      <c r="L20" s="21"/>
      <c r="M20" s="19"/>
      <c r="N20" s="19"/>
      <c r="O20" s="51"/>
      <c r="P20" s="18"/>
    </row>
    <row r="21" spans="2:16" ht="13.5" customHeight="1">
      <c r="B21" s="52" t="s">
        <v>41</v>
      </c>
      <c r="C21" s="53">
        <f>LOOKUP(C8,Presentacion!A7:A56,Presentacion!O7:O56)</f>
        <v>41275</v>
      </c>
      <c r="D21" s="53"/>
      <c r="E21" s="53"/>
      <c r="F21" s="27"/>
      <c r="G21" s="27"/>
      <c r="I21" s="21" t="s">
        <v>42</v>
      </c>
      <c r="J21" s="54"/>
      <c r="K21" s="22"/>
      <c r="L21" s="21"/>
      <c r="M21" s="19"/>
      <c r="N21" s="33" t="s">
        <v>43</v>
      </c>
      <c r="O21" s="55">
        <f>+O18</f>
        <v>366.298544</v>
      </c>
      <c r="P21" s="18"/>
    </row>
    <row r="22" spans="2:16" ht="12.75" customHeight="1">
      <c r="B22" s="29" t="s">
        <v>44</v>
      </c>
      <c r="C22" s="53">
        <f>LOOKUP(C8,Presentacion!A7:A56,Presentacion!P7:P56)</f>
        <v>41470</v>
      </c>
      <c r="D22" s="53"/>
      <c r="E22" s="53"/>
      <c r="F22" s="27"/>
      <c r="G22" s="27"/>
      <c r="I22" s="21" t="s">
        <v>45</v>
      </c>
      <c r="J22" s="37">
        <f>J20*J21</f>
        <v>0</v>
      </c>
      <c r="K22" s="22"/>
      <c r="L22" s="21"/>
      <c r="M22" s="38" t="s">
        <v>19</v>
      </c>
      <c r="N22" s="33" t="s">
        <v>46</v>
      </c>
      <c r="O22" s="39">
        <f>VLOOKUP(O12,Tabla!$B$22:$E$32,3)</f>
        <v>324.87</v>
      </c>
      <c r="P22" s="18"/>
    </row>
    <row r="23" spans="4:16" ht="12.75" customHeight="1">
      <c r="D23" s="48">
        <f>C22-C21</f>
        <v>195</v>
      </c>
      <c r="E23" s="56" t="s">
        <v>47</v>
      </c>
      <c r="F23" s="27"/>
      <c r="G23" s="27"/>
      <c r="I23" s="21" t="s">
        <v>48</v>
      </c>
      <c r="J23" s="47">
        <f>IF(J11&gt;0,VLOOKUP(J11,Tabla!$B$22:$E$32,3),0)</f>
        <v>407.02</v>
      </c>
      <c r="K23" s="22"/>
      <c r="L23" s="21"/>
      <c r="M23" s="38" t="s">
        <v>23</v>
      </c>
      <c r="N23" s="33" t="s">
        <v>49</v>
      </c>
      <c r="O23" s="57">
        <f>+O21-O22</f>
        <v>41.42854399999999</v>
      </c>
      <c r="P23" s="18"/>
    </row>
    <row r="24" spans="3:16" ht="12.75" customHeight="1">
      <c r="C24" s="50"/>
      <c r="D24" s="27"/>
      <c r="E24" s="27"/>
      <c r="F24" s="27"/>
      <c r="G24" s="27"/>
      <c r="I24" s="21" t="s">
        <v>50</v>
      </c>
      <c r="J24" s="37">
        <f>J22+J23</f>
        <v>407.02</v>
      </c>
      <c r="K24" s="22"/>
      <c r="L24" s="21"/>
      <c r="M24" s="38" t="s">
        <v>19</v>
      </c>
      <c r="N24" s="33" t="s">
        <v>51</v>
      </c>
      <c r="O24" s="55">
        <v>0</v>
      </c>
      <c r="P24" s="18"/>
    </row>
    <row r="25" spans="1:16" ht="12.75" customHeight="1">
      <c r="A25" s="10"/>
      <c r="B25" s="19"/>
      <c r="C25" s="27"/>
      <c r="D25" s="27"/>
      <c r="E25" s="58"/>
      <c r="F25" s="58"/>
      <c r="G25" s="58"/>
      <c r="I25" s="21"/>
      <c r="J25" s="19"/>
      <c r="K25" s="22"/>
      <c r="L25" s="21"/>
      <c r="M25" s="38" t="s">
        <v>23</v>
      </c>
      <c r="N25" s="33" t="s">
        <v>52</v>
      </c>
      <c r="O25" s="55">
        <f>+O23-O24</f>
        <v>41.42854399999999</v>
      </c>
      <c r="P25" s="18"/>
    </row>
    <row r="26" spans="9:16" ht="12.75" customHeight="1">
      <c r="I26" s="21" t="s">
        <v>53</v>
      </c>
      <c r="J26" s="54">
        <v>1</v>
      </c>
      <c r="K26" s="22"/>
      <c r="L26" s="21"/>
      <c r="M26" s="19"/>
      <c r="N26" s="19"/>
      <c r="O26" s="51"/>
      <c r="P26" s="18"/>
    </row>
    <row r="27" spans="1:16" ht="12.75" customHeight="1">
      <c r="A27" s="10"/>
      <c r="C27" s="27"/>
      <c r="D27" s="27"/>
      <c r="E27" s="59"/>
      <c r="F27" s="60"/>
      <c r="G27" s="59"/>
      <c r="I27" s="21" t="s">
        <v>54</v>
      </c>
      <c r="J27" s="37">
        <f>J24*J26</f>
        <v>407.02</v>
      </c>
      <c r="K27" s="22"/>
      <c r="L27" s="21"/>
      <c r="M27" s="19"/>
      <c r="N27" s="19"/>
      <c r="O27" s="55"/>
      <c r="P27" s="18"/>
    </row>
    <row r="28" spans="2:16" ht="12.75" customHeight="1">
      <c r="B28" s="61" t="s">
        <v>55</v>
      </c>
      <c r="C28" s="27"/>
      <c r="D28" s="62"/>
      <c r="E28" s="63" t="s">
        <v>56</v>
      </c>
      <c r="F28" s="64" t="s">
        <v>57</v>
      </c>
      <c r="G28" s="63" t="s">
        <v>58</v>
      </c>
      <c r="I28" s="21"/>
      <c r="J28" s="27"/>
      <c r="K28" s="22"/>
      <c r="L28" s="21"/>
      <c r="M28" s="19"/>
      <c r="N28" s="33" t="s">
        <v>59</v>
      </c>
      <c r="O28" s="55">
        <f>+O25</f>
        <v>41.42854399999999</v>
      </c>
      <c r="P28" s="18"/>
    </row>
    <row r="29" spans="2:16" ht="12.75" customHeight="1">
      <c r="B29" s="65" t="s">
        <v>60</v>
      </c>
      <c r="C29" s="27">
        <f>C13*C11</f>
        <v>2617.5</v>
      </c>
      <c r="D29" s="50">
        <f>D23/365</f>
        <v>0.5342465753424658</v>
      </c>
      <c r="E29" s="37">
        <f>C29*D29</f>
        <v>1398.390410958904</v>
      </c>
      <c r="F29" s="37">
        <f>+C20*30</f>
        <v>1942.8000000000002</v>
      </c>
      <c r="G29" s="66">
        <f>IF(E29&gt;F29,E29-F29,0)</f>
        <v>0</v>
      </c>
      <c r="I29" s="67" t="s">
        <v>61</v>
      </c>
      <c r="J29" s="68">
        <f>+J17-J27</f>
        <v>-345.7185994520548</v>
      </c>
      <c r="K29" s="22"/>
      <c r="L29" s="21"/>
      <c r="M29" s="38" t="s">
        <v>62</v>
      </c>
      <c r="N29" s="33" t="s">
        <v>63</v>
      </c>
      <c r="O29" s="39">
        <f>+O12</f>
        <v>5304.8</v>
      </c>
      <c r="P29" s="18"/>
    </row>
    <row r="30" spans="2:16" ht="12.75" customHeight="1">
      <c r="B30" s="48" t="s">
        <v>64</v>
      </c>
      <c r="C30" s="48">
        <f>C13*C10</f>
        <v>2443</v>
      </c>
      <c r="D30" s="50">
        <f>D23/365</f>
        <v>0.5342465753424658</v>
      </c>
      <c r="E30" s="27">
        <f>C30*D30</f>
        <v>1305.164383561644</v>
      </c>
      <c r="F30" s="27">
        <f>E30-G30</f>
        <v>0</v>
      </c>
      <c r="G30" s="48">
        <f>+E30</f>
        <v>1305.164383561644</v>
      </c>
      <c r="I30" s="21"/>
      <c r="J30" s="19"/>
      <c r="K30" s="22"/>
      <c r="L30" s="21"/>
      <c r="M30" s="38" t="s">
        <v>23</v>
      </c>
      <c r="N30" s="33" t="s">
        <v>65</v>
      </c>
      <c r="O30" s="69">
        <f>+O28/O29</f>
        <v>0.00780963353943598</v>
      </c>
      <c r="P30" s="18"/>
    </row>
    <row r="31" spans="2:16" ht="12.75" customHeight="1">
      <c r="B31" s="48" t="s">
        <v>66</v>
      </c>
      <c r="C31" s="48">
        <f>C30*0.25</f>
        <v>610.75</v>
      </c>
      <c r="D31" s="50">
        <f>D30</f>
        <v>0.5342465753424658</v>
      </c>
      <c r="E31" s="36">
        <f>C31*D31</f>
        <v>326.291095890411</v>
      </c>
      <c r="F31" s="36">
        <f>+C20*15</f>
        <v>971.4000000000001</v>
      </c>
      <c r="G31" s="36">
        <f>IF(E31&gt;F31,(E31-F31),0)</f>
        <v>0</v>
      </c>
      <c r="I31" s="21"/>
      <c r="J31" s="19"/>
      <c r="K31" s="22"/>
      <c r="L31" s="21"/>
      <c r="M31" s="19"/>
      <c r="N31" s="19"/>
      <c r="O31" s="51"/>
      <c r="P31" s="18"/>
    </row>
    <row r="32" spans="2:16" ht="12.75" customHeight="1">
      <c r="B32" s="70"/>
      <c r="D32" s="48"/>
      <c r="E32" s="66"/>
      <c r="F32" s="66"/>
      <c r="G32" s="66"/>
      <c r="I32" s="21"/>
      <c r="J32" s="19"/>
      <c r="K32" s="22"/>
      <c r="L32" s="21"/>
      <c r="M32" s="38" t="s">
        <v>62</v>
      </c>
      <c r="N32" s="33" t="s">
        <v>67</v>
      </c>
      <c r="O32" s="71">
        <f>+G38</f>
        <v>0</v>
      </c>
      <c r="P32" s="18"/>
    </row>
    <row r="33" spans="2:16" ht="12.75" customHeight="1">
      <c r="B33" s="70"/>
      <c r="C33" s="48"/>
      <c r="D33" s="48"/>
      <c r="E33" s="72">
        <f>SUM(E29:E31)</f>
        <v>3029.845890410959</v>
      </c>
      <c r="F33" s="73">
        <f>SUM(F29:F31)</f>
        <v>2914.2000000000003</v>
      </c>
      <c r="G33" s="73">
        <f>SUM(G29:G31)</f>
        <v>1305.164383561644</v>
      </c>
      <c r="I33" s="21"/>
      <c r="J33" s="19"/>
      <c r="K33" s="22"/>
      <c r="L33" s="21"/>
      <c r="M33" s="38" t="s">
        <v>23</v>
      </c>
      <c r="N33" s="29" t="s">
        <v>68</v>
      </c>
      <c r="O33" s="74">
        <f>+O32*O30</f>
        <v>0</v>
      </c>
      <c r="P33" s="18"/>
    </row>
    <row r="34" spans="2:16" ht="12.75" customHeight="1">
      <c r="B34" s="70"/>
      <c r="C34" s="48"/>
      <c r="D34" s="48"/>
      <c r="E34" s="73"/>
      <c r="F34" s="73"/>
      <c r="G34" s="73"/>
      <c r="I34" s="21"/>
      <c r="J34" s="19"/>
      <c r="K34" s="22"/>
      <c r="L34" s="21"/>
      <c r="M34" s="19"/>
      <c r="N34" s="19"/>
      <c r="O34" s="22"/>
      <c r="P34" s="18"/>
    </row>
    <row r="35" spans="2:16" ht="12.75" customHeight="1">
      <c r="B35" s="75" t="s">
        <v>69</v>
      </c>
      <c r="C35" s="75"/>
      <c r="D35" s="76">
        <f>LOOKUP(C8,'[1]PRESENTACION'!A7:A56,'[1]PRESENTACION'!S7:S56)</f>
        <v>0</v>
      </c>
      <c r="E35" s="73">
        <f>IF(D35&lt;1,(20*C13)*C17,0)</f>
        <v>15403.808219178081</v>
      </c>
      <c r="F35" s="73">
        <f>IF(D35&lt;1,((C20*90)*C17),0)</f>
        <v>25724.801095890412</v>
      </c>
      <c r="G35" s="72">
        <f>IF(E35&gt;F35,(E35-F35),0)</f>
        <v>0</v>
      </c>
      <c r="I35" s="21"/>
      <c r="J35" s="19"/>
      <c r="K35" s="22"/>
      <c r="L35" s="21"/>
      <c r="M35" s="19"/>
      <c r="N35" s="19"/>
      <c r="O35" s="22"/>
      <c r="P35" s="18"/>
    </row>
    <row r="36" spans="2:16" ht="12.75" customHeight="1">
      <c r="B36" s="75" t="s">
        <v>70</v>
      </c>
      <c r="C36" s="75"/>
      <c r="D36" s="48"/>
      <c r="E36" s="73">
        <f>IF(D35&lt;1,C13*90,0)</f>
        <v>15705</v>
      </c>
      <c r="F36" s="73">
        <f>IF(D35&lt;1,((C20*90)*C17),0)</f>
        <v>25724.801095890412</v>
      </c>
      <c r="G36" s="72">
        <f>IF(E36&gt;F36,(E36-F36),0)</f>
        <v>0</v>
      </c>
      <c r="I36" s="21"/>
      <c r="J36" s="19"/>
      <c r="K36" s="22"/>
      <c r="L36" s="21"/>
      <c r="M36" s="12"/>
      <c r="N36" s="12"/>
      <c r="O36" s="77"/>
      <c r="P36" s="18"/>
    </row>
    <row r="37" spans="2:16" ht="12.75" customHeight="1">
      <c r="B37" s="75" t="s">
        <v>71</v>
      </c>
      <c r="C37" s="75"/>
      <c r="D37" s="48"/>
      <c r="E37" s="78">
        <f>(C17*12)*(C20*2)</f>
        <v>6859.94695890411</v>
      </c>
      <c r="F37" s="79">
        <f>SUM((C20*90)*C17)</f>
        <v>25724.801095890412</v>
      </c>
      <c r="G37" s="79">
        <f>IF(E37&gt;F37,(E37-F37),0)</f>
        <v>0</v>
      </c>
      <c r="I37" s="8"/>
      <c r="J37" s="8"/>
      <c r="K37" s="8"/>
      <c r="L37" s="8"/>
      <c r="M37" s="8"/>
      <c r="N37" s="8"/>
      <c r="O37" s="8"/>
      <c r="P37" s="18"/>
    </row>
    <row r="38" spans="2:16" ht="12.75" customHeight="1">
      <c r="B38" s="70"/>
      <c r="C38" s="48"/>
      <c r="D38" s="48"/>
      <c r="E38" s="80">
        <f>SUM(E35:E37)</f>
        <v>37968.75517808219</v>
      </c>
      <c r="F38" s="80">
        <f>SUM(F35:F37)</f>
        <v>77174.40328767124</v>
      </c>
      <c r="G38" s="80">
        <f>SUM(G35:G37)</f>
        <v>0</v>
      </c>
      <c r="P38" s="18"/>
    </row>
    <row r="39" spans="2:16" ht="12.75" customHeight="1">
      <c r="B39" s="70" t="s">
        <v>72</v>
      </c>
      <c r="C39" s="48"/>
      <c r="D39" s="48"/>
      <c r="E39" s="48"/>
      <c r="F39" s="48"/>
      <c r="G39" s="48"/>
      <c r="P39" s="18"/>
    </row>
    <row r="40" spans="2:16" ht="12.75" customHeight="1">
      <c r="B40" s="70" t="s">
        <v>73</v>
      </c>
      <c r="C40" s="48"/>
      <c r="D40" s="48"/>
      <c r="E40" s="81">
        <f>J29+O33</f>
        <v>-345.7185994520548</v>
      </c>
      <c r="F40" s="48"/>
      <c r="G40" s="48"/>
      <c r="P40" s="18"/>
    </row>
    <row r="41" spans="2:16" ht="12.75" customHeight="1">
      <c r="B41" s="70"/>
      <c r="C41" s="48"/>
      <c r="D41" s="48"/>
      <c r="E41" s="48"/>
      <c r="F41" s="48"/>
      <c r="G41" s="48"/>
      <c r="P41" s="18"/>
    </row>
    <row r="42" spans="2:16" ht="12.75" customHeight="1">
      <c r="B42" s="70" t="s">
        <v>74</v>
      </c>
      <c r="C42" s="48"/>
      <c r="D42" s="48"/>
      <c r="E42" s="81">
        <f>LOOKUP(C8,'[1]PRESENTACION'!A7:A56,'[1]PRESENTACION'!M7:M56)</f>
        <v>0</v>
      </c>
      <c r="F42" s="48"/>
      <c r="G42" s="48"/>
      <c r="P42" s="18"/>
    </row>
    <row r="43" spans="2:16" ht="12.75" customHeight="1">
      <c r="B43" s="70"/>
      <c r="C43" s="48"/>
      <c r="D43" s="48"/>
      <c r="E43" s="48"/>
      <c r="F43" s="48"/>
      <c r="G43" s="48"/>
      <c r="P43" s="18"/>
    </row>
    <row r="44" spans="2:16" ht="12.75" customHeight="1">
      <c r="B44" s="82" t="s">
        <v>75</v>
      </c>
      <c r="C44" s="83"/>
      <c r="D44" s="84"/>
      <c r="E44" s="85">
        <f>+E33+E38-E40-E42</f>
        <v>41344.3196679452</v>
      </c>
      <c r="F44" s="84"/>
      <c r="G44" s="84"/>
      <c r="P44" s="18"/>
    </row>
    <row r="45" ht="12.75" customHeight="1">
      <c r="P45" s="18"/>
    </row>
    <row r="46" ht="12.75" customHeight="1" hidden="1">
      <c r="P46" s="18"/>
    </row>
    <row r="47" ht="12.75" customHeight="1" hidden="1">
      <c r="P47" s="18"/>
    </row>
    <row r="48" ht="12.75" customHeight="1" hidden="1">
      <c r="P48" s="18"/>
    </row>
    <row r="49" ht="12.75" customHeight="1" hidden="1">
      <c r="P49" s="18"/>
    </row>
    <row r="50" spans="5:16" ht="12.75" customHeight="1">
      <c r="E50" s="27"/>
      <c r="P50" s="18"/>
    </row>
    <row r="51" ht="12.75" customHeight="1">
      <c r="P51" s="18"/>
    </row>
    <row r="52" spans="2:7" ht="12.75" customHeight="1">
      <c r="B52" s="86" t="s">
        <v>76</v>
      </c>
      <c r="C52" s="86"/>
      <c r="D52" s="86"/>
      <c r="E52" s="86"/>
      <c r="F52" s="86"/>
      <c r="G52" s="86"/>
    </row>
    <row r="53" ht="12.75" customHeight="1"/>
    <row r="54" spans="2:6" ht="12.75" customHeight="1">
      <c r="B54" s="12"/>
      <c r="C54" s="19" t="s">
        <v>60</v>
      </c>
      <c r="F54" s="27">
        <f>+E29</f>
        <v>1398.390410958904</v>
      </c>
    </row>
    <row r="55" spans="2:6" ht="12.75" customHeight="1">
      <c r="B55" s="87"/>
      <c r="C55" s="19" t="s">
        <v>64</v>
      </c>
      <c r="F55" s="27">
        <f>+E30</f>
        <v>1305.164383561644</v>
      </c>
    </row>
    <row r="56" spans="2:6" ht="12.75" customHeight="1">
      <c r="B56" s="87"/>
      <c r="C56" s="19" t="s">
        <v>66</v>
      </c>
      <c r="F56" s="27">
        <f>+E31</f>
        <v>326.291095890411</v>
      </c>
    </row>
    <row r="57" spans="2:6" ht="12.75" customHeight="1">
      <c r="B57" s="87"/>
      <c r="C57" s="19" t="s">
        <v>77</v>
      </c>
      <c r="F57" s="48">
        <f>+E37</f>
        <v>6859.94695890411</v>
      </c>
    </row>
    <row r="58" spans="2:6" ht="12.75" customHeight="1">
      <c r="B58" s="87"/>
      <c r="C58" s="19" t="s">
        <v>78</v>
      </c>
      <c r="F58" s="48">
        <f>+E36</f>
        <v>15705</v>
      </c>
    </row>
    <row r="59" spans="2:6" ht="12.75" customHeight="1">
      <c r="B59" s="87"/>
      <c r="C59" s="88" t="s">
        <v>79</v>
      </c>
      <c r="D59" s="88"/>
      <c r="F59" s="48">
        <f>+E35</f>
        <v>15403.808219178081</v>
      </c>
    </row>
    <row r="60" spans="2:7" ht="12.75" customHeight="1">
      <c r="B60" s="87"/>
      <c r="C60" s="88" t="s">
        <v>80</v>
      </c>
      <c r="D60" s="88"/>
      <c r="F60" s="48"/>
      <c r="G60" s="48">
        <f>+E42</f>
        <v>0</v>
      </c>
    </row>
    <row r="61" spans="2:7" ht="12.75" customHeight="1">
      <c r="B61" s="87"/>
      <c r="C61" s="19" t="s">
        <v>81</v>
      </c>
      <c r="G61" s="48">
        <f>+E40</f>
        <v>-345.7185994520548</v>
      </c>
    </row>
    <row r="62" spans="2:7" ht="12.75" customHeight="1">
      <c r="B62" s="87"/>
      <c r="C62" s="19" t="s">
        <v>82</v>
      </c>
      <c r="F62" s="19"/>
      <c r="G62" s="48">
        <f>+E44</f>
        <v>41344.3196679452</v>
      </c>
    </row>
    <row r="63" spans="2:7" ht="12.75" customHeight="1">
      <c r="B63" s="8"/>
      <c r="F63" s="12"/>
      <c r="G63" s="12"/>
    </row>
    <row r="64" spans="6:7" ht="12.75" customHeight="1">
      <c r="F64" s="8"/>
      <c r="G64" s="8"/>
    </row>
    <row r="65" spans="6:7" ht="12.75" customHeight="1">
      <c r="F65" s="68">
        <f>SUM(F54:F62)</f>
        <v>40998.60106849315</v>
      </c>
      <c r="G65" s="68">
        <f>SUM(G54:G62)</f>
        <v>40998.601068493146</v>
      </c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7">
    <mergeCell ref="C60:D60"/>
    <mergeCell ref="B36:C36"/>
    <mergeCell ref="B37:C37"/>
    <mergeCell ref="B52:G52"/>
    <mergeCell ref="C59:D59"/>
    <mergeCell ref="C15:F15"/>
    <mergeCell ref="C21:E21"/>
    <mergeCell ref="C22:E22"/>
    <mergeCell ref="B35:C35"/>
    <mergeCell ref="M7:O7"/>
    <mergeCell ref="M8:O8"/>
    <mergeCell ref="C9:F9"/>
    <mergeCell ref="C14:F14"/>
    <mergeCell ref="A2:G2"/>
    <mergeCell ref="A4:B4"/>
    <mergeCell ref="A5:B5"/>
    <mergeCell ref="I7:J7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2"/>
  <sheetViews>
    <sheetView workbookViewId="0" topLeftCell="G1">
      <selection activeCell="H13" sqref="H13"/>
    </sheetView>
  </sheetViews>
  <sheetFormatPr defaultColWidth="11.57421875" defaultRowHeight="12.75"/>
  <cols>
    <col min="1" max="4" width="10.8515625" style="134" customWidth="1"/>
    <col min="5" max="5" width="19.7109375" style="134" customWidth="1"/>
    <col min="6" max="7" width="10.8515625" style="134" customWidth="1"/>
    <col min="8" max="8" width="14.421875" style="134" customWidth="1"/>
    <col min="9" max="11" width="10.8515625" style="134" customWidth="1"/>
    <col min="12" max="12" width="23.28125" style="134" customWidth="1"/>
    <col min="13" max="26" width="10.8515625" style="134" customWidth="1"/>
    <col min="27" max="16384" width="11.57421875" style="134" customWidth="1"/>
  </cols>
  <sheetData>
    <row r="1" ht="12.75" customHeight="1"/>
    <row r="2" spans="2:5" ht="12.75" customHeight="1">
      <c r="B2" s="135" t="s">
        <v>103</v>
      </c>
      <c r="C2" s="135"/>
      <c r="D2" s="135"/>
      <c r="E2" s="135"/>
    </row>
    <row r="3" spans="2:5" ht="12.75" customHeight="1">
      <c r="B3" s="112"/>
      <c r="C3" s="112"/>
      <c r="D3" s="112"/>
      <c r="E3" s="112"/>
    </row>
    <row r="4" spans="1:6" ht="12.75" customHeight="1">
      <c r="A4" s="112"/>
      <c r="B4" s="136" t="s">
        <v>104</v>
      </c>
      <c r="C4" s="136"/>
      <c r="D4" s="136"/>
      <c r="E4" s="136"/>
      <c r="F4" s="112"/>
    </row>
    <row r="5" spans="2:5" ht="12.75" customHeight="1">
      <c r="B5" s="137"/>
      <c r="C5" s="138"/>
      <c r="D5" s="138"/>
      <c r="E5" s="138"/>
    </row>
    <row r="6" spans="1:10" ht="51" customHeight="1">
      <c r="A6" s="139"/>
      <c r="B6" s="140" t="s">
        <v>105</v>
      </c>
      <c r="C6" s="140" t="s">
        <v>106</v>
      </c>
      <c r="D6" s="140" t="s">
        <v>107</v>
      </c>
      <c r="E6" s="140" t="s">
        <v>108</v>
      </c>
      <c r="F6" s="141"/>
      <c r="H6" s="142" t="s">
        <v>109</v>
      </c>
      <c r="I6" s="142"/>
      <c r="J6" s="142"/>
    </row>
    <row r="7" spans="1:6" ht="13.5" customHeight="1">
      <c r="A7" s="139"/>
      <c r="B7" s="143" t="s">
        <v>110</v>
      </c>
      <c r="C7" s="143" t="s">
        <v>110</v>
      </c>
      <c r="D7" s="143" t="s">
        <v>110</v>
      </c>
      <c r="E7" s="143" t="s">
        <v>111</v>
      </c>
      <c r="F7" s="141"/>
    </row>
    <row r="8" spans="2:5" ht="13.5" customHeight="1">
      <c r="B8" s="144">
        <v>0.01</v>
      </c>
      <c r="C8" s="144">
        <v>496.07</v>
      </c>
      <c r="D8" s="144">
        <v>0</v>
      </c>
      <c r="E8" s="145">
        <v>0.019200000000000002</v>
      </c>
    </row>
    <row r="9" spans="2:12" ht="13.5" customHeight="1">
      <c r="B9" s="144">
        <f>C8+0.01</f>
        <v>496.08</v>
      </c>
      <c r="C9" s="144">
        <v>4210.41</v>
      </c>
      <c r="D9" s="144">
        <v>9.52</v>
      </c>
      <c r="E9" s="145">
        <v>0.064</v>
      </c>
      <c r="G9" s="146"/>
      <c r="H9" s="147">
        <v>1</v>
      </c>
      <c r="I9" s="147">
        <v>6</v>
      </c>
      <c r="J9" s="148"/>
      <c r="K9" s="149"/>
      <c r="L9" s="150" t="s">
        <v>112</v>
      </c>
    </row>
    <row r="10" spans="2:12" ht="13.5" customHeight="1">
      <c r="B10" s="144">
        <v>4210.42</v>
      </c>
      <c r="C10" s="144">
        <v>7399.42</v>
      </c>
      <c r="D10" s="144">
        <v>247.23</v>
      </c>
      <c r="E10" s="145">
        <v>0.10880000000000001</v>
      </c>
      <c r="G10" s="146"/>
      <c r="H10" s="147">
        <v>2</v>
      </c>
      <c r="I10" s="147">
        <v>8</v>
      </c>
      <c r="J10" s="148"/>
      <c r="K10" s="149"/>
      <c r="L10" s="150" t="s">
        <v>113</v>
      </c>
    </row>
    <row r="11" spans="2:12" ht="13.5" customHeight="1">
      <c r="B11" s="144">
        <v>7399.43</v>
      </c>
      <c r="C11" s="144">
        <v>8601.5</v>
      </c>
      <c r="D11" s="144">
        <v>594.24</v>
      </c>
      <c r="E11" s="145">
        <v>0.16</v>
      </c>
      <c r="G11" s="146"/>
      <c r="H11" s="147">
        <v>3</v>
      </c>
      <c r="I11" s="147">
        <v>10</v>
      </c>
      <c r="J11" s="148"/>
      <c r="K11" s="149"/>
      <c r="L11" s="150" t="s">
        <v>114</v>
      </c>
    </row>
    <row r="12" spans="2:12" ht="13.5" customHeight="1">
      <c r="B12" s="144">
        <v>8601.51</v>
      </c>
      <c r="C12" s="144">
        <v>10298.35</v>
      </c>
      <c r="D12" s="144">
        <v>786.55</v>
      </c>
      <c r="E12" s="145">
        <v>0.1792</v>
      </c>
      <c r="G12" s="146"/>
      <c r="H12" s="147">
        <v>4</v>
      </c>
      <c r="I12" s="147">
        <v>12</v>
      </c>
      <c r="J12" s="148"/>
      <c r="K12" s="149"/>
      <c r="L12" s="150" t="s">
        <v>115</v>
      </c>
    </row>
    <row r="13" spans="2:12" ht="12.75" customHeight="1">
      <c r="B13" s="144">
        <v>10298.36</v>
      </c>
      <c r="C13" s="144">
        <v>20770.29</v>
      </c>
      <c r="D13" s="144">
        <v>1090.62</v>
      </c>
      <c r="E13" s="145">
        <v>0.2136</v>
      </c>
      <c r="G13" s="148"/>
      <c r="H13" s="149" t="s">
        <v>116</v>
      </c>
      <c r="I13" s="147">
        <v>14</v>
      </c>
      <c r="J13" s="148"/>
      <c r="K13" s="149"/>
      <c r="L13" s="150" t="s">
        <v>117</v>
      </c>
    </row>
    <row r="14" spans="2:12" ht="12.75" customHeight="1">
      <c r="B14" s="144">
        <v>20770.3</v>
      </c>
      <c r="C14" s="144">
        <v>32736.83</v>
      </c>
      <c r="D14" s="144">
        <v>3327.42</v>
      </c>
      <c r="E14" s="145">
        <v>0.23520000000000002</v>
      </c>
      <c r="H14" s="149" t="s">
        <v>118</v>
      </c>
      <c r="I14" s="147">
        <v>16</v>
      </c>
      <c r="K14" s="149"/>
      <c r="L14" s="150" t="s">
        <v>119</v>
      </c>
    </row>
    <row r="15" spans="2:12" ht="12.75" customHeight="1">
      <c r="B15" s="144">
        <v>32736.84</v>
      </c>
      <c r="C15" s="144">
        <v>999999</v>
      </c>
      <c r="D15" s="144">
        <v>6141.95</v>
      </c>
      <c r="E15" s="145">
        <v>0.30000000000000004</v>
      </c>
      <c r="H15" s="149" t="s">
        <v>120</v>
      </c>
      <c r="I15" s="147">
        <v>18</v>
      </c>
      <c r="K15" s="149"/>
      <c r="L15" s="150" t="s">
        <v>121</v>
      </c>
    </row>
    <row r="16" spans="8:12" ht="12.75" customHeight="1">
      <c r="H16" s="149" t="s">
        <v>122</v>
      </c>
      <c r="I16" s="147">
        <f>+I15+2</f>
        <v>20</v>
      </c>
      <c r="L16" s="150" t="s">
        <v>123</v>
      </c>
    </row>
    <row r="17" spans="2:12" ht="12.75" customHeight="1">
      <c r="B17" s="151"/>
      <c r="C17" s="112"/>
      <c r="D17" s="112"/>
      <c r="E17" s="112"/>
      <c r="H17" s="149" t="s">
        <v>124</v>
      </c>
      <c r="I17" s="147">
        <f>+I16+2</f>
        <v>22</v>
      </c>
      <c r="L17" s="150" t="s">
        <v>125</v>
      </c>
    </row>
    <row r="18" spans="1:12" ht="12.75" customHeight="1">
      <c r="A18" s="112"/>
      <c r="B18" s="136" t="s">
        <v>126</v>
      </c>
      <c r="C18" s="136"/>
      <c r="D18" s="136"/>
      <c r="E18" s="136"/>
      <c r="F18" s="112"/>
      <c r="H18" s="149" t="s">
        <v>127</v>
      </c>
      <c r="I18" s="147">
        <f>+I17+2</f>
        <v>24</v>
      </c>
      <c r="L18" s="150" t="s">
        <v>128</v>
      </c>
    </row>
    <row r="19" spans="2:12" ht="12.75" customHeight="1">
      <c r="B19" s="137"/>
      <c r="C19" s="138"/>
      <c r="D19" s="138"/>
      <c r="H19" s="149" t="s">
        <v>129</v>
      </c>
      <c r="I19" s="147">
        <f>+I18+2</f>
        <v>26</v>
      </c>
      <c r="L19" s="150" t="s">
        <v>130</v>
      </c>
    </row>
    <row r="20" spans="1:8" ht="37.5" customHeight="1">
      <c r="A20" s="139"/>
      <c r="B20" s="143" t="s">
        <v>105</v>
      </c>
      <c r="C20" s="143" t="s">
        <v>106</v>
      </c>
      <c r="D20" s="143" t="s">
        <v>107</v>
      </c>
      <c r="F20" s="141"/>
      <c r="H20" s="148"/>
    </row>
    <row r="21" spans="1:8" ht="13.5" customHeight="1">
      <c r="A21" s="139"/>
      <c r="B21" s="143" t="s">
        <v>110</v>
      </c>
      <c r="C21" s="143" t="s">
        <v>110</v>
      </c>
      <c r="D21" s="143" t="s">
        <v>110</v>
      </c>
      <c r="F21" s="141"/>
      <c r="H21" s="148"/>
    </row>
    <row r="22" spans="2:8" ht="13.5" customHeight="1">
      <c r="B22" s="144">
        <v>0.01</v>
      </c>
      <c r="C22" s="144">
        <v>1768.96</v>
      </c>
      <c r="D22" s="144">
        <v>407.02</v>
      </c>
      <c r="G22" s="152"/>
      <c r="H22" s="148"/>
    </row>
    <row r="23" spans="2:7" ht="13.5" customHeight="1">
      <c r="B23" s="144">
        <v>1768.97</v>
      </c>
      <c r="C23" s="144">
        <v>2653.38</v>
      </c>
      <c r="D23" s="144">
        <v>406.83</v>
      </c>
      <c r="G23" s="152"/>
    </row>
    <row r="24" spans="2:9" ht="13.5" customHeight="1">
      <c r="B24" s="144">
        <v>2653.39</v>
      </c>
      <c r="C24" s="144">
        <v>3472.84</v>
      </c>
      <c r="D24" s="144">
        <v>406.62</v>
      </c>
      <c r="G24" s="152"/>
      <c r="I24" s="147"/>
    </row>
    <row r="25" spans="2:9" ht="13.5" customHeight="1">
      <c r="B25" s="144">
        <v>3472.85</v>
      </c>
      <c r="C25" s="144">
        <v>3537.87</v>
      </c>
      <c r="D25" s="144">
        <v>392.77</v>
      </c>
      <c r="G25" s="152"/>
      <c r="I25" s="147"/>
    </row>
    <row r="26" spans="2:9" ht="13.5" customHeight="1">
      <c r="B26" s="144">
        <v>3537.88</v>
      </c>
      <c r="C26" s="144">
        <v>4446.15</v>
      </c>
      <c r="D26" s="144">
        <v>382.46</v>
      </c>
      <c r="G26" s="152"/>
      <c r="I26" s="147"/>
    </row>
    <row r="27" spans="2:7" ht="13.5" customHeight="1">
      <c r="B27" s="144">
        <v>4446.16</v>
      </c>
      <c r="C27" s="144">
        <v>4717.18</v>
      </c>
      <c r="D27" s="144">
        <v>354.23</v>
      </c>
      <c r="G27" s="152"/>
    </row>
    <row r="28" spans="2:7" ht="13.5" customHeight="1">
      <c r="B28" s="144">
        <v>4717.19</v>
      </c>
      <c r="C28" s="144">
        <v>5335.42</v>
      </c>
      <c r="D28" s="144">
        <v>324.87</v>
      </c>
      <c r="G28" s="152"/>
    </row>
    <row r="29" spans="2:7" ht="13.5" customHeight="1">
      <c r="B29" s="144">
        <v>5335.43</v>
      </c>
      <c r="C29" s="144">
        <v>6224.67</v>
      </c>
      <c r="D29" s="144">
        <v>294.63</v>
      </c>
      <c r="G29" s="152"/>
    </row>
    <row r="30" spans="2:4" ht="12.75" customHeight="1">
      <c r="B30" s="144">
        <v>6224.68</v>
      </c>
      <c r="C30" s="144">
        <v>7113.9</v>
      </c>
      <c r="D30" s="144">
        <v>253.54</v>
      </c>
    </row>
    <row r="31" spans="2:4" ht="12.75" customHeight="1">
      <c r="B31" s="144">
        <v>7113.91</v>
      </c>
      <c r="C31" s="144">
        <v>7382.33</v>
      </c>
      <c r="D31" s="144">
        <v>217.61</v>
      </c>
    </row>
    <row r="32" spans="2:4" ht="12.75" customHeight="1">
      <c r="B32" s="144">
        <v>7382.34</v>
      </c>
      <c r="C32" s="144">
        <v>999999</v>
      </c>
      <c r="D32" s="144">
        <v>0</v>
      </c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4">
    <mergeCell ref="B2:E2"/>
    <mergeCell ref="B4:E4"/>
    <mergeCell ref="H6:J6"/>
    <mergeCell ref="B18:E18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Nicolas</cp:lastModifiedBy>
  <dcterms:created xsi:type="dcterms:W3CDTF">2013-01-25T17:39:52Z</dcterms:created>
  <dcterms:modified xsi:type="dcterms:W3CDTF">2013-01-25T18:06:30Z</dcterms:modified>
  <cp:category/>
  <cp:version/>
  <cp:contentType/>
  <cp:contentStatus/>
</cp:coreProperties>
</file>